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Edwin Vega-Araya\EEVA\Caso Estrategia REDD\Análisis\Implementación\"/>
    </mc:Choice>
  </mc:AlternateContent>
  <bookViews>
    <workbookView xWindow="0" yWindow="0" windowWidth="21600" windowHeight="9015"/>
  </bookViews>
  <sheets>
    <sheet name="Agrupamiento" sheetId="9" r:id="rId1"/>
    <sheet name="Info recibida" sheetId="1" r:id="rId2"/>
    <sheet name="$" sheetId="2" r:id="rId3"/>
    <sheet name="x Políticas" sheetId="3" r:id="rId4"/>
    <sheet name="x Institución" sheetId="11" r:id="rId5"/>
    <sheet name="Entradas" sheetId="7" r:id="rId6"/>
    <sheet name="Impresión de metas" sheetId="10" r:id="rId7"/>
  </sheets>
  <externalReferences>
    <externalReference r:id="rId8"/>
  </externalReferences>
  <definedNames>
    <definedName name="_xlnm._FilterDatabase" localSheetId="2" hidden="1">'$'!$B$4:$H$66</definedName>
    <definedName name="_xlnm._FilterDatabase" localSheetId="5" hidden="1">Entradas!$A$4:$D$66</definedName>
    <definedName name="_xlnm._FilterDatabase" localSheetId="6" hidden="1">'Impresión de metas'!$A$4:$I$66</definedName>
    <definedName name="_xlnm._FilterDatabase" localSheetId="1" hidden="1">'Info recibida'!$A$4:$I$66</definedName>
    <definedName name="_xlnm._FilterDatabase" localSheetId="4" hidden="1">'x Institución'!$B$4:$H$35</definedName>
    <definedName name="_xlnm._FilterDatabase" localSheetId="3" hidden="1">'x Políticas'!$A$4:$D$66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60" i="10" l="1"/>
  <c r="BK60" i="10"/>
  <c r="BL60" i="10"/>
  <c r="BM60" i="10"/>
  <c r="BN60" i="10"/>
  <c r="BO60" i="10"/>
  <c r="BP60" i="10"/>
  <c r="CP60" i="10"/>
  <c r="AT7" i="10"/>
  <c r="AU7" i="10" s="1"/>
  <c r="AV7" i="10" s="1"/>
  <c r="AW7" i="10" s="1"/>
  <c r="AX7" i="10" s="1"/>
  <c r="AY7" i="10" s="1"/>
  <c r="AZ7" i="10" s="1"/>
  <c r="BA7" i="10" s="1"/>
  <c r="AT6" i="10"/>
  <c r="AU6" i="10" s="1"/>
  <c r="AV6" i="10" s="1"/>
  <c r="AW6" i="10" s="1"/>
  <c r="AX6" i="10" s="1"/>
  <c r="AY6" i="10" s="1"/>
  <c r="AZ6" i="10" s="1"/>
  <c r="BA6" i="10" s="1"/>
  <c r="AK7" i="10"/>
  <c r="AL7" i="10" s="1"/>
  <c r="AM7" i="10" s="1"/>
  <c r="AN7" i="10" s="1"/>
  <c r="AO7" i="10" s="1"/>
  <c r="AP7" i="10" s="1"/>
  <c r="AQ7" i="10" s="1"/>
  <c r="AR7" i="10" s="1"/>
  <c r="AK6" i="10"/>
  <c r="AL6" i="10" s="1"/>
  <c r="AM6" i="10" s="1"/>
  <c r="AN6" i="10" s="1"/>
  <c r="AO6" i="10" s="1"/>
  <c r="AP6" i="10" s="1"/>
  <c r="AQ6" i="10" s="1"/>
  <c r="AR6" i="10" s="1"/>
  <c r="AY7" i="1"/>
  <c r="AZ7" i="1" s="1"/>
  <c r="BA7" i="1" s="1"/>
  <c r="BB7" i="1" s="1"/>
  <c r="BC7" i="1" s="1"/>
  <c r="BD7" i="1" s="1"/>
  <c r="AX7" i="1"/>
  <c r="AW7" i="1"/>
  <c r="AY6" i="1"/>
  <c r="AZ6" i="1" s="1"/>
  <c r="BA6" i="1" s="1"/>
  <c r="BB6" i="1" s="1"/>
  <c r="BC6" i="1" s="1"/>
  <c r="BD6" i="1" s="1"/>
  <c r="AX6" i="1"/>
  <c r="AW6" i="1"/>
  <c r="AN7" i="1"/>
  <c r="AO7" i="1" s="1"/>
  <c r="AP7" i="1" s="1"/>
  <c r="AQ7" i="1" s="1"/>
  <c r="AR7" i="1" s="1"/>
  <c r="AS7" i="1" s="1"/>
  <c r="AM7" i="1"/>
  <c r="AL7" i="1"/>
  <c r="AN6" i="1"/>
  <c r="AO6" i="1" s="1"/>
  <c r="AP6" i="1" s="1"/>
  <c r="AQ6" i="1" s="1"/>
  <c r="AR6" i="1" s="1"/>
  <c r="AS6" i="1" s="1"/>
  <c r="AM6" i="1"/>
  <c r="AL6" i="1"/>
  <c r="BX61" i="11" l="1"/>
  <c r="BY61" i="11"/>
  <c r="BZ61" i="11"/>
  <c r="CA61" i="11"/>
  <c r="CB61" i="11"/>
  <c r="CC61" i="11"/>
  <c r="CD61" i="11"/>
  <c r="CE61" i="11"/>
  <c r="CF61" i="11"/>
  <c r="CG61" i="11"/>
  <c r="CH61" i="11"/>
  <c r="CI61" i="11"/>
  <c r="CJ61" i="11"/>
  <c r="CK61" i="11"/>
  <c r="CL61" i="11"/>
  <c r="CM61" i="11"/>
  <c r="CN61" i="11"/>
  <c r="CO61" i="11"/>
  <c r="CP61" i="11"/>
  <c r="CQ61" i="11"/>
  <c r="CS61" i="11"/>
  <c r="CY61" i="11"/>
  <c r="BX62" i="11"/>
  <c r="BY62" i="11"/>
  <c r="BZ62" i="11"/>
  <c r="CA62" i="11"/>
  <c r="CB62" i="11"/>
  <c r="CC62" i="11"/>
  <c r="CD62" i="11"/>
  <c r="CE62" i="11"/>
  <c r="CF62" i="11"/>
  <c r="CG62" i="11"/>
  <c r="CH62" i="11"/>
  <c r="CI62" i="11"/>
  <c r="CJ62" i="11"/>
  <c r="CK62" i="11"/>
  <c r="CL62" i="11"/>
  <c r="CM62" i="11"/>
  <c r="CN62" i="11"/>
  <c r="CO62" i="11"/>
  <c r="CP62" i="11"/>
  <c r="CQ62" i="11"/>
  <c r="CS62" i="11"/>
  <c r="CY62" i="11"/>
  <c r="BX63" i="11"/>
  <c r="BY63" i="11"/>
  <c r="BZ63" i="11"/>
  <c r="CA63" i="11"/>
  <c r="CB63" i="11"/>
  <c r="CC63" i="11"/>
  <c r="CD63" i="11"/>
  <c r="CE63" i="11"/>
  <c r="CF63" i="11"/>
  <c r="CG63" i="11"/>
  <c r="CH63" i="11"/>
  <c r="CI63" i="11"/>
  <c r="CJ63" i="11"/>
  <c r="CK63" i="11"/>
  <c r="CL63" i="11"/>
  <c r="CM63" i="11"/>
  <c r="CN63" i="11"/>
  <c r="CO63" i="11"/>
  <c r="CP63" i="11"/>
  <c r="CQ63" i="11"/>
  <c r="CS63" i="11"/>
  <c r="CY63" i="11"/>
  <c r="BX64" i="11"/>
  <c r="BY64" i="11"/>
  <c r="BZ64" i="11"/>
  <c r="CA64" i="11"/>
  <c r="CB64" i="11"/>
  <c r="CC64" i="11"/>
  <c r="CD64" i="11"/>
  <c r="CE64" i="11"/>
  <c r="CF64" i="11"/>
  <c r="CG64" i="11"/>
  <c r="CH64" i="11"/>
  <c r="CI64" i="11"/>
  <c r="CJ64" i="11"/>
  <c r="CK64" i="11"/>
  <c r="CL64" i="11"/>
  <c r="CM64" i="11"/>
  <c r="CN64" i="11"/>
  <c r="CO64" i="11"/>
  <c r="CP64" i="11"/>
  <c r="CQ64" i="11"/>
  <c r="CS64" i="11"/>
  <c r="CY64" i="11"/>
  <c r="BX65" i="11"/>
  <c r="BY65" i="11"/>
  <c r="BZ65" i="11"/>
  <c r="CA65" i="11"/>
  <c r="CB65" i="11"/>
  <c r="CC65" i="11"/>
  <c r="CD65" i="11"/>
  <c r="CE65" i="11"/>
  <c r="CF65" i="11"/>
  <c r="CG65" i="11"/>
  <c r="CH65" i="11"/>
  <c r="CI65" i="11"/>
  <c r="CJ65" i="11"/>
  <c r="CK65" i="11"/>
  <c r="CL65" i="11"/>
  <c r="CM65" i="11"/>
  <c r="CN65" i="11"/>
  <c r="CO65" i="11"/>
  <c r="CP65" i="11"/>
  <c r="CQ65" i="11"/>
  <c r="CS65" i="11"/>
  <c r="CY65" i="11"/>
  <c r="BX66" i="11"/>
  <c r="BY66" i="11"/>
  <c r="BZ66" i="11"/>
  <c r="CA66" i="11"/>
  <c r="CB66" i="11"/>
  <c r="CC66" i="11"/>
  <c r="CD66" i="11"/>
  <c r="CE66" i="11"/>
  <c r="CF66" i="11"/>
  <c r="CG66" i="11"/>
  <c r="CH66" i="11"/>
  <c r="CI66" i="11"/>
  <c r="CJ66" i="11"/>
  <c r="CK66" i="11"/>
  <c r="CL66" i="11"/>
  <c r="CM66" i="11"/>
  <c r="CN66" i="11"/>
  <c r="CO66" i="11"/>
  <c r="CP66" i="11"/>
  <c r="CQ66" i="11"/>
  <c r="CS66" i="11"/>
  <c r="CY66" i="11"/>
  <c r="BX67" i="11"/>
  <c r="BY67" i="11"/>
  <c r="BZ67" i="11"/>
  <c r="CA67" i="11"/>
  <c r="CB67" i="11"/>
  <c r="CC67" i="11"/>
  <c r="CD67" i="11"/>
  <c r="CE67" i="11"/>
  <c r="CF67" i="11"/>
  <c r="CG67" i="11"/>
  <c r="CH67" i="11"/>
  <c r="CI67" i="11"/>
  <c r="CJ67" i="11"/>
  <c r="CK67" i="11"/>
  <c r="CL67" i="11"/>
  <c r="CM67" i="11"/>
  <c r="CN67" i="11"/>
  <c r="CO67" i="11"/>
  <c r="CP67" i="11"/>
  <c r="CQ67" i="11"/>
  <c r="CS67" i="11"/>
  <c r="CY67" i="11"/>
  <c r="BX68" i="11"/>
  <c r="BY68" i="11"/>
  <c r="BZ68" i="11"/>
  <c r="CA68" i="11"/>
  <c r="CB68" i="11"/>
  <c r="CC68" i="11"/>
  <c r="CD68" i="11"/>
  <c r="CE68" i="11"/>
  <c r="CF68" i="11"/>
  <c r="CG68" i="11"/>
  <c r="CH68" i="11"/>
  <c r="CI68" i="11"/>
  <c r="CJ68" i="11"/>
  <c r="CK68" i="11"/>
  <c r="CL68" i="11"/>
  <c r="CM68" i="11"/>
  <c r="CN68" i="11"/>
  <c r="CO68" i="11"/>
  <c r="CP68" i="11"/>
  <c r="CQ68" i="11"/>
  <c r="CS68" i="11"/>
  <c r="CY68" i="11"/>
  <c r="CS69" i="11"/>
  <c r="CS73" i="11" s="1"/>
  <c r="CS70" i="11"/>
  <c r="BX71" i="11"/>
  <c r="BY71" i="11"/>
  <c r="BZ71" i="11"/>
  <c r="CA71" i="11"/>
  <c r="CB71" i="11"/>
  <c r="CC71" i="11"/>
  <c r="CD71" i="11"/>
  <c r="CE71" i="11"/>
  <c r="CF71" i="11"/>
  <c r="CG71" i="11"/>
  <c r="CH71" i="11"/>
  <c r="CI71" i="11"/>
  <c r="CJ71" i="11"/>
  <c r="CK71" i="11"/>
  <c r="CL71" i="11"/>
  <c r="CM71" i="11"/>
  <c r="CN71" i="11"/>
  <c r="CO71" i="11"/>
  <c r="CP71" i="11"/>
  <c r="CQ71" i="11"/>
  <c r="CS71" i="11"/>
  <c r="CY71" i="11"/>
  <c r="BX72" i="11"/>
  <c r="BY72" i="11"/>
  <c r="BZ72" i="11"/>
  <c r="CA72" i="11"/>
  <c r="CB72" i="11"/>
  <c r="CC72" i="11"/>
  <c r="CD72" i="11"/>
  <c r="CE72" i="11"/>
  <c r="CF72" i="11"/>
  <c r="CG72" i="11"/>
  <c r="CH72" i="11"/>
  <c r="CI72" i="11"/>
  <c r="CJ72" i="11"/>
  <c r="CK72" i="11"/>
  <c r="CL72" i="11"/>
  <c r="CM72" i="11"/>
  <c r="CN72" i="11"/>
  <c r="CO72" i="11"/>
  <c r="CP72" i="11"/>
  <c r="CQ72" i="11"/>
  <c r="CS72" i="11"/>
  <c r="CY72" i="11"/>
  <c r="BS72" i="11"/>
  <c r="BS71" i="11"/>
  <c r="BS68" i="11"/>
  <c r="BS67" i="11"/>
  <c r="BS66" i="11"/>
  <c r="BS65" i="11"/>
  <c r="BS64" i="11"/>
  <c r="BS63" i="11"/>
  <c r="BS62" i="11"/>
  <c r="BS61" i="11"/>
  <c r="BT35" i="1"/>
  <c r="BT43" i="1"/>
  <c r="BT37" i="1"/>
  <c r="BT36" i="1"/>
  <c r="DH58" i="11"/>
  <c r="CS58" i="11"/>
  <c r="CY25" i="11"/>
  <c r="CQ25" i="11"/>
  <c r="CP25" i="11"/>
  <c r="CO25" i="11"/>
  <c r="CN25" i="11"/>
  <c r="CM25" i="11"/>
  <c r="CL25" i="11"/>
  <c r="CK25" i="11"/>
  <c r="CJ25" i="11"/>
  <c r="CI25" i="11"/>
  <c r="CH25" i="11"/>
  <c r="CF25" i="11"/>
  <c r="CE25" i="11"/>
  <c r="CD25" i="11"/>
  <c r="CC25" i="11"/>
  <c r="CB25" i="11"/>
  <c r="CA25" i="11"/>
  <c r="BZ25" i="11"/>
  <c r="BY25" i="11"/>
  <c r="BX25" i="11"/>
  <c r="BS25" i="11"/>
  <c r="BR25" i="11"/>
  <c r="BQ25" i="11"/>
  <c r="BP25" i="11"/>
  <c r="BO25" i="11"/>
  <c r="BN25" i="11"/>
  <c r="BM25" i="11"/>
  <c r="BL25" i="11"/>
  <c r="BK25" i="11"/>
  <c r="BJ25" i="11"/>
  <c r="BI25" i="11"/>
  <c r="CY19" i="11"/>
  <c r="CQ19" i="11"/>
  <c r="CP19" i="11"/>
  <c r="CO19" i="11"/>
  <c r="CN19" i="11"/>
  <c r="CM19" i="11"/>
  <c r="CL19" i="11"/>
  <c r="CK19" i="11"/>
  <c r="CJ19" i="11"/>
  <c r="CI19" i="11"/>
  <c r="CH19" i="11"/>
  <c r="CF19" i="11"/>
  <c r="CE19" i="11"/>
  <c r="CD19" i="11"/>
  <c r="CC19" i="11"/>
  <c r="CB19" i="11"/>
  <c r="CA19" i="11"/>
  <c r="BZ19" i="11"/>
  <c r="BY19" i="11"/>
  <c r="BX19" i="11"/>
  <c r="BS19" i="11"/>
  <c r="BR19" i="11"/>
  <c r="BQ19" i="11"/>
  <c r="BP19" i="11"/>
  <c r="BO19" i="11"/>
  <c r="BN19" i="11"/>
  <c r="BM19" i="11"/>
  <c r="BL19" i="11"/>
  <c r="BK19" i="11"/>
  <c r="BJ19" i="11"/>
  <c r="BI19" i="11"/>
  <c r="CY18" i="11"/>
  <c r="CS18" i="11"/>
  <c r="CQ18" i="11"/>
  <c r="CP18" i="11"/>
  <c r="CO18" i="11"/>
  <c r="CN18" i="11"/>
  <c r="CM18" i="11"/>
  <c r="CL18" i="11"/>
  <c r="CK18" i="11"/>
  <c r="CJ18" i="11"/>
  <c r="CI18" i="11"/>
  <c r="CH18" i="11"/>
  <c r="CF18" i="11"/>
  <c r="CE18" i="11"/>
  <c r="CD18" i="11"/>
  <c r="CC18" i="11"/>
  <c r="CB18" i="11"/>
  <c r="CA18" i="11"/>
  <c r="BZ18" i="11"/>
  <c r="BY18" i="11"/>
  <c r="BX18" i="11"/>
  <c r="BS18" i="11"/>
  <c r="BR18" i="11"/>
  <c r="BQ18" i="11"/>
  <c r="BP18" i="11"/>
  <c r="BO18" i="11"/>
  <c r="BN18" i="11"/>
  <c r="BM18" i="11"/>
  <c r="BL18" i="11"/>
  <c r="BK18" i="11"/>
  <c r="BJ18" i="11"/>
  <c r="BI18" i="11"/>
  <c r="CY17" i="11"/>
  <c r="CQ17" i="11"/>
  <c r="CP17" i="11"/>
  <c r="CO17" i="11"/>
  <c r="CN17" i="11"/>
  <c r="CM17" i="11"/>
  <c r="CL17" i="11"/>
  <c r="CK17" i="11"/>
  <c r="CJ17" i="11"/>
  <c r="CI17" i="11"/>
  <c r="CH17" i="11"/>
  <c r="CF17" i="11"/>
  <c r="CE17" i="11"/>
  <c r="CD17" i="11"/>
  <c r="CC17" i="11"/>
  <c r="CB17" i="11"/>
  <c r="CA17" i="11"/>
  <c r="BZ17" i="11"/>
  <c r="BY17" i="11"/>
  <c r="BX17" i="11"/>
  <c r="BS17" i="11"/>
  <c r="BR17" i="11"/>
  <c r="BQ17" i="11"/>
  <c r="BP17" i="11"/>
  <c r="BO17" i="11"/>
  <c r="BN17" i="11"/>
  <c r="BM17" i="11"/>
  <c r="BL17" i="11"/>
  <c r="BK17" i="11"/>
  <c r="BJ17" i="11"/>
  <c r="BI17" i="11"/>
  <c r="CY28" i="11"/>
  <c r="CQ28" i="11"/>
  <c r="CP28" i="11"/>
  <c r="CO28" i="11"/>
  <c r="CN28" i="11"/>
  <c r="CM28" i="11"/>
  <c r="CL28" i="11"/>
  <c r="CK28" i="11"/>
  <c r="CJ28" i="11"/>
  <c r="CI28" i="11"/>
  <c r="CH28" i="11"/>
  <c r="CF28" i="11"/>
  <c r="CE28" i="11"/>
  <c r="CD28" i="11"/>
  <c r="CC28" i="11"/>
  <c r="CB28" i="11"/>
  <c r="CA28" i="11"/>
  <c r="BZ28" i="11"/>
  <c r="BY28" i="11"/>
  <c r="BX28" i="11"/>
  <c r="BS28" i="11"/>
  <c r="BR28" i="11"/>
  <c r="BQ28" i="11"/>
  <c r="BP28" i="11"/>
  <c r="BO28" i="11"/>
  <c r="BN28" i="11"/>
  <c r="BM28" i="11"/>
  <c r="BL28" i="11"/>
  <c r="BK28" i="11"/>
  <c r="BJ28" i="11"/>
  <c r="BI28" i="11"/>
  <c r="CY21" i="11"/>
  <c r="CQ21" i="11"/>
  <c r="CP21" i="11"/>
  <c r="CO21" i="11"/>
  <c r="CN21" i="11"/>
  <c r="CM21" i="11"/>
  <c r="CL21" i="11"/>
  <c r="CK21" i="11"/>
  <c r="CJ21" i="11"/>
  <c r="CI21" i="11"/>
  <c r="CH21" i="11"/>
  <c r="CF21" i="11"/>
  <c r="CE21" i="11"/>
  <c r="CD21" i="11"/>
  <c r="CC21" i="11"/>
  <c r="CB21" i="11"/>
  <c r="CA21" i="11"/>
  <c r="BZ21" i="11"/>
  <c r="BY21" i="11"/>
  <c r="BX21" i="11"/>
  <c r="BS21" i="11"/>
  <c r="BR21" i="11"/>
  <c r="BQ21" i="11"/>
  <c r="BP21" i="11"/>
  <c r="BO21" i="11"/>
  <c r="BN21" i="11"/>
  <c r="BM21" i="11"/>
  <c r="BL21" i="11"/>
  <c r="BK21" i="11"/>
  <c r="BJ21" i="11"/>
  <c r="BI21" i="11"/>
  <c r="CY16" i="11"/>
  <c r="CQ16" i="11"/>
  <c r="CP16" i="11"/>
  <c r="CO16" i="11"/>
  <c r="CN16" i="11"/>
  <c r="CM16" i="11"/>
  <c r="CL16" i="11"/>
  <c r="CK16" i="11"/>
  <c r="CJ16" i="11"/>
  <c r="CI16" i="11"/>
  <c r="CH16" i="11"/>
  <c r="CF16" i="11"/>
  <c r="CE16" i="11"/>
  <c r="CD16" i="11"/>
  <c r="CC16" i="11"/>
  <c r="CB16" i="11"/>
  <c r="CA16" i="11"/>
  <c r="BZ16" i="11"/>
  <c r="BY16" i="11"/>
  <c r="BX16" i="11"/>
  <c r="BS16" i="11"/>
  <c r="BR16" i="11"/>
  <c r="BQ16" i="11"/>
  <c r="BP16" i="11"/>
  <c r="BO16" i="11"/>
  <c r="BN16" i="11"/>
  <c r="BM16" i="11"/>
  <c r="BL16" i="11"/>
  <c r="BK16" i="11"/>
  <c r="BJ16" i="11"/>
  <c r="BI16" i="11"/>
  <c r="CY45" i="11"/>
  <c r="CQ45" i="11"/>
  <c r="CP45" i="11"/>
  <c r="CO45" i="11"/>
  <c r="CN45" i="11"/>
  <c r="CM45" i="11"/>
  <c r="CL45" i="11"/>
  <c r="CK45" i="11"/>
  <c r="CJ45" i="11"/>
  <c r="CI45" i="11"/>
  <c r="CH45" i="11"/>
  <c r="CF45" i="11"/>
  <c r="CE45" i="11"/>
  <c r="CD45" i="11"/>
  <c r="CC45" i="11"/>
  <c r="CB45" i="11"/>
  <c r="CA45" i="11"/>
  <c r="BZ45" i="11"/>
  <c r="BY45" i="11"/>
  <c r="BX45" i="11"/>
  <c r="BS45" i="11"/>
  <c r="BR45" i="11"/>
  <c r="BQ45" i="11"/>
  <c r="BP45" i="11"/>
  <c r="BO45" i="11"/>
  <c r="BN45" i="11"/>
  <c r="BM45" i="11"/>
  <c r="BL45" i="11"/>
  <c r="BK45" i="11"/>
  <c r="BJ45" i="11"/>
  <c r="BI45" i="11"/>
  <c r="CY24" i="11"/>
  <c r="CS24" i="11"/>
  <c r="CQ24" i="11"/>
  <c r="CP24" i="11"/>
  <c r="CO24" i="11"/>
  <c r="CN24" i="11"/>
  <c r="CM24" i="11"/>
  <c r="CL24" i="11"/>
  <c r="CK24" i="11"/>
  <c r="CJ24" i="11"/>
  <c r="CI24" i="11"/>
  <c r="CH24" i="11"/>
  <c r="CF24" i="11"/>
  <c r="CE24" i="11"/>
  <c r="CD24" i="11"/>
  <c r="CC24" i="11"/>
  <c r="CB24" i="11"/>
  <c r="CA24" i="11"/>
  <c r="BZ24" i="11"/>
  <c r="BY24" i="11"/>
  <c r="BX24" i="11"/>
  <c r="BS24" i="11"/>
  <c r="BR24" i="11"/>
  <c r="BQ24" i="11"/>
  <c r="BP24" i="11"/>
  <c r="BO24" i="11"/>
  <c r="BN24" i="11"/>
  <c r="BM24" i="11"/>
  <c r="BL24" i="11"/>
  <c r="BK24" i="11"/>
  <c r="BJ24" i="11"/>
  <c r="BI24" i="11"/>
  <c r="CY22" i="11"/>
  <c r="CS22" i="11"/>
  <c r="CQ22" i="11"/>
  <c r="CP22" i="11"/>
  <c r="CO22" i="11"/>
  <c r="CN22" i="11"/>
  <c r="CM22" i="11"/>
  <c r="CL22" i="11"/>
  <c r="CK22" i="11"/>
  <c r="CJ22" i="11"/>
  <c r="CI22" i="11"/>
  <c r="CH22" i="11"/>
  <c r="CF22" i="11"/>
  <c r="CE22" i="11"/>
  <c r="CD22" i="11"/>
  <c r="CC22" i="11"/>
  <c r="CB22" i="11"/>
  <c r="CA22" i="11"/>
  <c r="BZ22" i="11"/>
  <c r="BY22" i="11"/>
  <c r="BX22" i="11"/>
  <c r="BS22" i="11"/>
  <c r="BR22" i="11"/>
  <c r="BQ22" i="11"/>
  <c r="BP22" i="11"/>
  <c r="BO22" i="11"/>
  <c r="BN22" i="11"/>
  <c r="BM22" i="11"/>
  <c r="BL22" i="11"/>
  <c r="BK22" i="11"/>
  <c r="BJ22" i="11"/>
  <c r="BI22" i="11"/>
  <c r="CY23" i="11"/>
  <c r="CS23" i="11"/>
  <c r="CQ23" i="11"/>
  <c r="CP23" i="11"/>
  <c r="CO23" i="11"/>
  <c r="CN23" i="11"/>
  <c r="CM23" i="11"/>
  <c r="CL23" i="11"/>
  <c r="CK23" i="11"/>
  <c r="CJ23" i="11"/>
  <c r="CI23" i="11"/>
  <c r="CH23" i="11"/>
  <c r="CF23" i="11"/>
  <c r="CE23" i="11"/>
  <c r="CD23" i="11"/>
  <c r="CC23" i="11"/>
  <c r="CB23" i="11"/>
  <c r="CA23" i="11"/>
  <c r="BZ23" i="11"/>
  <c r="BY23" i="11"/>
  <c r="BX23" i="11"/>
  <c r="BS23" i="11"/>
  <c r="BR23" i="11"/>
  <c r="BQ23" i="11"/>
  <c r="BP23" i="11"/>
  <c r="BO23" i="11"/>
  <c r="BN23" i="11"/>
  <c r="BM23" i="11"/>
  <c r="BL23" i="11"/>
  <c r="BK23" i="11"/>
  <c r="BJ23" i="11"/>
  <c r="BI23" i="11"/>
  <c r="CY42" i="11"/>
  <c r="CQ42" i="11"/>
  <c r="CP42" i="11"/>
  <c r="CO42" i="11"/>
  <c r="CN42" i="11"/>
  <c r="CM42" i="11"/>
  <c r="CL42" i="11"/>
  <c r="CK42" i="11"/>
  <c r="CJ42" i="11"/>
  <c r="CI42" i="11"/>
  <c r="CH42" i="11"/>
  <c r="CF42" i="11"/>
  <c r="CE42" i="11"/>
  <c r="CD42" i="11"/>
  <c r="CC42" i="11"/>
  <c r="CB42" i="11"/>
  <c r="CA42" i="11"/>
  <c r="BZ42" i="11"/>
  <c r="BY42" i="11"/>
  <c r="BX42" i="11"/>
  <c r="BS42" i="11"/>
  <c r="BR42" i="11"/>
  <c r="BQ42" i="11"/>
  <c r="BP42" i="11"/>
  <c r="BO42" i="11"/>
  <c r="BN42" i="11"/>
  <c r="BM42" i="11"/>
  <c r="BL42" i="11"/>
  <c r="BK42" i="11"/>
  <c r="BJ42" i="11"/>
  <c r="BI42" i="11"/>
  <c r="CY10" i="11"/>
  <c r="CS10" i="11"/>
  <c r="CQ10" i="11"/>
  <c r="CP10" i="11"/>
  <c r="CO10" i="11"/>
  <c r="CN10" i="11"/>
  <c r="CM10" i="11"/>
  <c r="CL10" i="11"/>
  <c r="CK10" i="11"/>
  <c r="CJ10" i="11"/>
  <c r="CI10" i="11"/>
  <c r="CH10" i="11"/>
  <c r="CF10" i="11"/>
  <c r="CE10" i="11"/>
  <c r="CD10" i="11"/>
  <c r="CC10" i="11"/>
  <c r="CB10" i="11"/>
  <c r="CA10" i="11"/>
  <c r="BZ10" i="11"/>
  <c r="BY10" i="11"/>
  <c r="BX10" i="11"/>
  <c r="BV10" i="11"/>
  <c r="BT10" i="11"/>
  <c r="BS10" i="11"/>
  <c r="BR10" i="11"/>
  <c r="BQ10" i="11"/>
  <c r="BP10" i="11"/>
  <c r="BO10" i="11"/>
  <c r="BN10" i="11"/>
  <c r="BM10" i="11"/>
  <c r="BL10" i="11"/>
  <c r="BK10" i="11"/>
  <c r="BJ10" i="11"/>
  <c r="BI10" i="11"/>
  <c r="CY4" i="11"/>
  <c r="CS4" i="11"/>
  <c r="CQ4" i="11"/>
  <c r="CP4" i="11"/>
  <c r="CO4" i="11"/>
  <c r="CN4" i="11"/>
  <c r="CM4" i="11"/>
  <c r="CL4" i="11"/>
  <c r="CK4" i="11"/>
  <c r="CJ4" i="11"/>
  <c r="CI4" i="11"/>
  <c r="CH4" i="11"/>
  <c r="CF4" i="11"/>
  <c r="CE4" i="11"/>
  <c r="CD4" i="11"/>
  <c r="CC4" i="11"/>
  <c r="CB4" i="11"/>
  <c r="CA4" i="11"/>
  <c r="BZ4" i="11"/>
  <c r="BY4" i="11"/>
  <c r="BX4" i="11"/>
  <c r="BV4" i="11"/>
  <c r="BT4" i="11"/>
  <c r="BS4" i="11"/>
  <c r="BR4" i="11"/>
  <c r="BQ4" i="11"/>
  <c r="BP4" i="11"/>
  <c r="BO4" i="11"/>
  <c r="BN4" i="11"/>
  <c r="BM4" i="11"/>
  <c r="BL4" i="11"/>
  <c r="BK4" i="11"/>
  <c r="BJ4" i="11"/>
  <c r="BI4" i="11"/>
  <c r="CY27" i="11"/>
  <c r="CQ27" i="11"/>
  <c r="CP27" i="11"/>
  <c r="CO27" i="11"/>
  <c r="CN27" i="11"/>
  <c r="CM27" i="11"/>
  <c r="CL27" i="11"/>
  <c r="CK27" i="11"/>
  <c r="CJ27" i="11"/>
  <c r="CI27" i="11"/>
  <c r="CH27" i="11"/>
  <c r="CF27" i="11"/>
  <c r="CE27" i="11"/>
  <c r="CD27" i="11"/>
  <c r="CC27" i="11"/>
  <c r="CB27" i="11"/>
  <c r="CA27" i="11"/>
  <c r="BZ27" i="11"/>
  <c r="BY27" i="11"/>
  <c r="BX27" i="11"/>
  <c r="BS27" i="11"/>
  <c r="BR27" i="11"/>
  <c r="BQ27" i="11"/>
  <c r="BP27" i="11"/>
  <c r="BO27" i="11"/>
  <c r="BN27" i="11"/>
  <c r="BM27" i="11"/>
  <c r="BL27" i="11"/>
  <c r="BK27" i="11"/>
  <c r="BJ27" i="11"/>
  <c r="BI27" i="11"/>
  <c r="CY15" i="11"/>
  <c r="CS15" i="11"/>
  <c r="CQ15" i="11"/>
  <c r="CP15" i="11"/>
  <c r="CO15" i="11"/>
  <c r="CN15" i="11"/>
  <c r="CM15" i="11"/>
  <c r="CL15" i="11"/>
  <c r="CK15" i="11"/>
  <c r="CJ15" i="11"/>
  <c r="CI15" i="11"/>
  <c r="CH15" i="11"/>
  <c r="CF15" i="11"/>
  <c r="CE15" i="11"/>
  <c r="CD15" i="11"/>
  <c r="CC15" i="11"/>
  <c r="CB15" i="11"/>
  <c r="CA15" i="11"/>
  <c r="BZ15" i="11"/>
  <c r="BY15" i="11"/>
  <c r="BX15" i="11"/>
  <c r="BS15" i="11"/>
  <c r="BR15" i="11"/>
  <c r="BQ15" i="11"/>
  <c r="BP15" i="11"/>
  <c r="BO15" i="11"/>
  <c r="BN15" i="11"/>
  <c r="BM15" i="11"/>
  <c r="BL15" i="11"/>
  <c r="BK15" i="11"/>
  <c r="BJ15" i="11"/>
  <c r="BI15" i="11"/>
  <c r="CY53" i="11"/>
  <c r="CQ53" i="11"/>
  <c r="CP53" i="11"/>
  <c r="CO53" i="11"/>
  <c r="CN53" i="11"/>
  <c r="CM53" i="11"/>
  <c r="CL53" i="11"/>
  <c r="CK53" i="11"/>
  <c r="CJ53" i="11"/>
  <c r="CI53" i="11"/>
  <c r="CH53" i="11"/>
  <c r="CF53" i="11"/>
  <c r="CE53" i="11"/>
  <c r="CD53" i="11"/>
  <c r="CC53" i="11"/>
  <c r="CB53" i="11"/>
  <c r="CA53" i="11"/>
  <c r="BZ53" i="11"/>
  <c r="BY53" i="11"/>
  <c r="BX53" i="11"/>
  <c r="BS53" i="11"/>
  <c r="BR53" i="11"/>
  <c r="BQ53" i="11"/>
  <c r="BP53" i="11"/>
  <c r="BO53" i="11"/>
  <c r="BN53" i="11"/>
  <c r="BM53" i="11"/>
  <c r="BL53" i="11"/>
  <c r="BK53" i="11"/>
  <c r="BJ53" i="11"/>
  <c r="BI53" i="11"/>
  <c r="BC53" i="11"/>
  <c r="BB53" i="11"/>
  <c r="BA53" i="11"/>
  <c r="AZ53" i="11"/>
  <c r="AY53" i="11"/>
  <c r="AX53" i="11"/>
  <c r="AW53" i="11"/>
  <c r="AV53" i="11"/>
  <c r="AU53" i="11"/>
  <c r="CY20" i="11"/>
  <c r="CQ20" i="11"/>
  <c r="CP20" i="11"/>
  <c r="CO20" i="11"/>
  <c r="CN20" i="11"/>
  <c r="CM20" i="11"/>
  <c r="CL20" i="11"/>
  <c r="CK20" i="11"/>
  <c r="CJ20" i="11"/>
  <c r="CI20" i="11"/>
  <c r="CH20" i="11"/>
  <c r="CF20" i="11"/>
  <c r="CE20" i="11"/>
  <c r="CD20" i="11"/>
  <c r="CC20" i="11"/>
  <c r="CB20" i="11"/>
  <c r="CA20" i="11"/>
  <c r="BZ20" i="11"/>
  <c r="BY20" i="11"/>
  <c r="BX20" i="11"/>
  <c r="BS20" i="11"/>
  <c r="BR20" i="11"/>
  <c r="BQ20" i="11"/>
  <c r="BP20" i="11"/>
  <c r="BO20" i="11"/>
  <c r="BN20" i="11"/>
  <c r="BM20" i="11"/>
  <c r="BL20" i="11"/>
  <c r="BK20" i="11"/>
  <c r="BJ20" i="11"/>
  <c r="BI20" i="11"/>
  <c r="CY48" i="11"/>
  <c r="CQ48" i="11"/>
  <c r="CP48" i="11"/>
  <c r="CO48" i="11"/>
  <c r="CN48" i="11"/>
  <c r="CM48" i="11"/>
  <c r="CL48" i="11"/>
  <c r="CK48" i="11"/>
  <c r="CJ48" i="11"/>
  <c r="CI48" i="11"/>
  <c r="CH48" i="11"/>
  <c r="CF48" i="11"/>
  <c r="CE48" i="11"/>
  <c r="CD48" i="11"/>
  <c r="CC48" i="11"/>
  <c r="CB48" i="11"/>
  <c r="CA48" i="11"/>
  <c r="BZ48" i="11"/>
  <c r="BY48" i="11"/>
  <c r="BX48" i="11"/>
  <c r="BS48" i="11"/>
  <c r="BR48" i="11"/>
  <c r="BQ48" i="11"/>
  <c r="BP48" i="11"/>
  <c r="BO48" i="11"/>
  <c r="BN48" i="11"/>
  <c r="BM48" i="11"/>
  <c r="BL48" i="11"/>
  <c r="BK48" i="11"/>
  <c r="BJ48" i="11"/>
  <c r="BI48" i="11"/>
  <c r="BC48" i="11"/>
  <c r="BB48" i="11"/>
  <c r="BA48" i="11"/>
  <c r="AZ48" i="11"/>
  <c r="AY48" i="11"/>
  <c r="AX48" i="11"/>
  <c r="AW48" i="11"/>
  <c r="AV48" i="11"/>
  <c r="AU48" i="11"/>
  <c r="CY43" i="11"/>
  <c r="CS43" i="11"/>
  <c r="CQ43" i="11"/>
  <c r="CP43" i="11"/>
  <c r="CO43" i="11"/>
  <c r="CN43" i="11"/>
  <c r="CM43" i="11"/>
  <c r="CL43" i="11"/>
  <c r="CK43" i="11"/>
  <c r="CJ43" i="11"/>
  <c r="CI43" i="11"/>
  <c r="CH43" i="11"/>
  <c r="CF43" i="11"/>
  <c r="CE43" i="11"/>
  <c r="CD43" i="11"/>
  <c r="CC43" i="11"/>
  <c r="CB43" i="11"/>
  <c r="CA43" i="11"/>
  <c r="BZ43" i="11"/>
  <c r="BY43" i="11"/>
  <c r="BX43" i="11"/>
  <c r="BS43" i="11"/>
  <c r="BR43" i="11"/>
  <c r="BQ43" i="11"/>
  <c r="BP43" i="11"/>
  <c r="BO43" i="11"/>
  <c r="BN43" i="11"/>
  <c r="BM43" i="11"/>
  <c r="BL43" i="11"/>
  <c r="BK43" i="11"/>
  <c r="BJ43" i="11"/>
  <c r="BI43" i="11"/>
  <c r="CY49" i="11"/>
  <c r="CQ49" i="11"/>
  <c r="CP49" i="11"/>
  <c r="CO49" i="11"/>
  <c r="CN49" i="11"/>
  <c r="CM49" i="11"/>
  <c r="CL49" i="11"/>
  <c r="CK49" i="11"/>
  <c r="CJ49" i="11"/>
  <c r="CI49" i="11"/>
  <c r="CH49" i="11"/>
  <c r="CF49" i="11"/>
  <c r="CE49" i="11"/>
  <c r="CD49" i="11"/>
  <c r="CC49" i="11"/>
  <c r="CB49" i="11"/>
  <c r="CA49" i="11"/>
  <c r="BZ49" i="11"/>
  <c r="BY49" i="11"/>
  <c r="BX49" i="11"/>
  <c r="BS49" i="11"/>
  <c r="BR49" i="11"/>
  <c r="BQ49" i="11"/>
  <c r="BP49" i="11"/>
  <c r="BO49" i="11"/>
  <c r="BN49" i="11"/>
  <c r="BM49" i="11"/>
  <c r="BL49" i="11"/>
  <c r="BK49" i="11"/>
  <c r="BJ49" i="11"/>
  <c r="BI49" i="11"/>
  <c r="CY38" i="11"/>
  <c r="CQ38" i="11"/>
  <c r="CP38" i="11"/>
  <c r="CO38" i="11"/>
  <c r="CN38" i="11"/>
  <c r="CM38" i="11"/>
  <c r="CL38" i="11"/>
  <c r="CK38" i="11"/>
  <c r="CJ38" i="11"/>
  <c r="CI38" i="11"/>
  <c r="CH38" i="11"/>
  <c r="CF38" i="11"/>
  <c r="CE38" i="11"/>
  <c r="CD38" i="11"/>
  <c r="CC38" i="11"/>
  <c r="CB38" i="11"/>
  <c r="CA38" i="11"/>
  <c r="BZ38" i="11"/>
  <c r="BY38" i="11"/>
  <c r="BX38" i="11"/>
  <c r="BS38" i="11"/>
  <c r="BR38" i="11"/>
  <c r="BQ38" i="11"/>
  <c r="BP38" i="11"/>
  <c r="BO38" i="11"/>
  <c r="BN38" i="11"/>
  <c r="BM38" i="11"/>
  <c r="BL38" i="11"/>
  <c r="BK38" i="11"/>
  <c r="BJ38" i="11"/>
  <c r="BI38" i="11"/>
  <c r="CY51" i="11"/>
  <c r="CQ51" i="11"/>
  <c r="CP51" i="11"/>
  <c r="CO51" i="11"/>
  <c r="CN51" i="11"/>
  <c r="CM51" i="11"/>
  <c r="CL51" i="11"/>
  <c r="CK51" i="11"/>
  <c r="CJ51" i="11"/>
  <c r="CI51" i="11"/>
  <c r="CH51" i="11"/>
  <c r="CF51" i="11"/>
  <c r="CE51" i="11"/>
  <c r="CD51" i="11"/>
  <c r="CC51" i="11"/>
  <c r="CB51" i="11"/>
  <c r="CA51" i="11"/>
  <c r="BZ51" i="11"/>
  <c r="BY51" i="11"/>
  <c r="BX51" i="11"/>
  <c r="BS51" i="11"/>
  <c r="BR51" i="11"/>
  <c r="BQ51" i="11"/>
  <c r="BP51" i="11"/>
  <c r="BO51" i="11"/>
  <c r="BN51" i="11"/>
  <c r="BM51" i="11"/>
  <c r="BL51" i="11"/>
  <c r="BK51" i="11"/>
  <c r="BJ51" i="11"/>
  <c r="BI51" i="11"/>
  <c r="CY29" i="11"/>
  <c r="CQ29" i="11"/>
  <c r="CP29" i="11"/>
  <c r="CO29" i="11"/>
  <c r="CN29" i="11"/>
  <c r="CM29" i="11"/>
  <c r="CL29" i="11"/>
  <c r="CK29" i="11"/>
  <c r="CJ29" i="11"/>
  <c r="CI29" i="11"/>
  <c r="CH29" i="11"/>
  <c r="CF29" i="11"/>
  <c r="CE29" i="11"/>
  <c r="CD29" i="11"/>
  <c r="CC29" i="11"/>
  <c r="CB29" i="11"/>
  <c r="CA29" i="11"/>
  <c r="BZ29" i="11"/>
  <c r="BY29" i="11"/>
  <c r="BX29" i="11"/>
  <c r="BS29" i="11"/>
  <c r="BR29" i="11"/>
  <c r="BQ29" i="11"/>
  <c r="BP29" i="11"/>
  <c r="BO29" i="11"/>
  <c r="BN29" i="11"/>
  <c r="BM29" i="11"/>
  <c r="BL29" i="11"/>
  <c r="BK29" i="11"/>
  <c r="BJ29" i="11"/>
  <c r="BI29" i="11"/>
  <c r="CY34" i="11"/>
  <c r="CQ34" i="11"/>
  <c r="CP34" i="11"/>
  <c r="CO34" i="11"/>
  <c r="CN34" i="11"/>
  <c r="CM34" i="11"/>
  <c r="CL34" i="11"/>
  <c r="CK34" i="11"/>
  <c r="CJ34" i="11"/>
  <c r="CI34" i="11"/>
  <c r="CH34" i="11"/>
  <c r="CF34" i="11"/>
  <c r="CE34" i="11"/>
  <c r="CD34" i="11"/>
  <c r="CC34" i="11"/>
  <c r="CB34" i="11"/>
  <c r="CA34" i="11"/>
  <c r="BZ34" i="11"/>
  <c r="BY34" i="11"/>
  <c r="BX34" i="11"/>
  <c r="BV34" i="11"/>
  <c r="BT34" i="11"/>
  <c r="BS34" i="11"/>
  <c r="BR34" i="11"/>
  <c r="BQ34" i="11"/>
  <c r="BP34" i="11"/>
  <c r="BO34" i="11"/>
  <c r="BN34" i="11"/>
  <c r="BM34" i="11"/>
  <c r="BL34" i="11"/>
  <c r="BK34" i="11"/>
  <c r="BJ34" i="11"/>
  <c r="BI34" i="11"/>
  <c r="CY31" i="11"/>
  <c r="CQ31" i="11"/>
  <c r="CP31" i="11"/>
  <c r="CO31" i="11"/>
  <c r="CN31" i="11"/>
  <c r="CM31" i="11"/>
  <c r="CL31" i="11"/>
  <c r="CK31" i="11"/>
  <c r="CJ31" i="11"/>
  <c r="CI31" i="11"/>
  <c r="CH31" i="11"/>
  <c r="CF31" i="11"/>
  <c r="CE31" i="11"/>
  <c r="CD31" i="11"/>
  <c r="CC31" i="11"/>
  <c r="CB31" i="11"/>
  <c r="CA31" i="11"/>
  <c r="BZ31" i="11"/>
  <c r="BY31" i="11"/>
  <c r="BX31" i="11"/>
  <c r="BS31" i="11"/>
  <c r="BR31" i="11"/>
  <c r="BQ31" i="11"/>
  <c r="BP31" i="11"/>
  <c r="BO31" i="11"/>
  <c r="BN31" i="11"/>
  <c r="BM31" i="11"/>
  <c r="BL31" i="11"/>
  <c r="BK31" i="11"/>
  <c r="BJ31" i="11"/>
  <c r="BI31" i="11"/>
  <c r="CY57" i="11"/>
  <c r="CQ57" i="11"/>
  <c r="CP57" i="11"/>
  <c r="CO57" i="11"/>
  <c r="CN57" i="11"/>
  <c r="CM57" i="11"/>
  <c r="CL57" i="11"/>
  <c r="CK57" i="11"/>
  <c r="CJ57" i="11"/>
  <c r="CI57" i="11"/>
  <c r="CH57" i="11"/>
  <c r="CF57" i="11"/>
  <c r="CE57" i="11"/>
  <c r="CD57" i="11"/>
  <c r="CC57" i="11"/>
  <c r="CB57" i="11"/>
  <c r="CA57" i="11"/>
  <c r="BZ57" i="11"/>
  <c r="BY57" i="11"/>
  <c r="BX57" i="11"/>
  <c r="BS57" i="11"/>
  <c r="BR57" i="11"/>
  <c r="BQ57" i="11"/>
  <c r="BP57" i="11"/>
  <c r="BO57" i="11"/>
  <c r="BN57" i="11"/>
  <c r="BM57" i="11"/>
  <c r="BL57" i="11"/>
  <c r="BK57" i="11"/>
  <c r="BJ57" i="11"/>
  <c r="BI57" i="11"/>
  <c r="CY26" i="11"/>
  <c r="CQ26" i="11"/>
  <c r="CP26" i="11"/>
  <c r="CO26" i="11"/>
  <c r="CN26" i="11"/>
  <c r="CM26" i="11"/>
  <c r="CL26" i="11"/>
  <c r="CK26" i="11"/>
  <c r="CJ26" i="11"/>
  <c r="CI26" i="11"/>
  <c r="CH26" i="11"/>
  <c r="CF26" i="11"/>
  <c r="CE26" i="11"/>
  <c r="CD26" i="11"/>
  <c r="CC26" i="11"/>
  <c r="CB26" i="11"/>
  <c r="CA26" i="11"/>
  <c r="BZ26" i="11"/>
  <c r="BY26" i="11"/>
  <c r="BX26" i="11"/>
  <c r="BS26" i="11"/>
  <c r="BR26" i="11"/>
  <c r="BQ26" i="11"/>
  <c r="BP26" i="11"/>
  <c r="BO26" i="11"/>
  <c r="BN26" i="11"/>
  <c r="BM26" i="11"/>
  <c r="BL26" i="11"/>
  <c r="BK26" i="11"/>
  <c r="BJ26" i="11"/>
  <c r="BI26" i="11"/>
  <c r="CY46" i="11"/>
  <c r="CQ46" i="11"/>
  <c r="CP46" i="11"/>
  <c r="CO46" i="11"/>
  <c r="CN46" i="11"/>
  <c r="CM46" i="11"/>
  <c r="CL46" i="11"/>
  <c r="CK46" i="11"/>
  <c r="CJ46" i="11"/>
  <c r="CI46" i="11"/>
  <c r="CH46" i="11"/>
  <c r="CF46" i="11"/>
  <c r="CE46" i="11"/>
  <c r="CD46" i="11"/>
  <c r="CC46" i="11"/>
  <c r="CB46" i="11"/>
  <c r="CA46" i="11"/>
  <c r="BZ46" i="11"/>
  <c r="BY46" i="11"/>
  <c r="BX46" i="11"/>
  <c r="BS46" i="11"/>
  <c r="BR46" i="11"/>
  <c r="BQ46" i="11"/>
  <c r="BP46" i="11"/>
  <c r="BO46" i="11"/>
  <c r="BN46" i="11"/>
  <c r="BM46" i="11"/>
  <c r="BL46" i="11"/>
  <c r="BK46" i="11"/>
  <c r="BJ46" i="11"/>
  <c r="BI46" i="11"/>
  <c r="CY56" i="11"/>
  <c r="CQ56" i="11"/>
  <c r="CP56" i="11"/>
  <c r="CO56" i="11"/>
  <c r="CN56" i="11"/>
  <c r="CM56" i="11"/>
  <c r="CL56" i="11"/>
  <c r="CK56" i="11"/>
  <c r="CJ56" i="11"/>
  <c r="CI56" i="11"/>
  <c r="CH56" i="11"/>
  <c r="CF56" i="11"/>
  <c r="CE56" i="11"/>
  <c r="CD56" i="11"/>
  <c r="CC56" i="11"/>
  <c r="CB56" i="11"/>
  <c r="CA56" i="11"/>
  <c r="BZ56" i="11"/>
  <c r="BY56" i="11"/>
  <c r="BX56" i="11"/>
  <c r="BS56" i="11"/>
  <c r="BR56" i="11"/>
  <c r="BQ56" i="11"/>
  <c r="BP56" i="11"/>
  <c r="BO56" i="11"/>
  <c r="BN56" i="11"/>
  <c r="BM56" i="11"/>
  <c r="BL56" i="11"/>
  <c r="BK56" i="11"/>
  <c r="BJ56" i="11"/>
  <c r="BI56" i="11"/>
  <c r="CY37" i="11"/>
  <c r="CQ37" i="11"/>
  <c r="CP37" i="11"/>
  <c r="CO37" i="11"/>
  <c r="CN37" i="11"/>
  <c r="CM37" i="11"/>
  <c r="CL37" i="11"/>
  <c r="CK37" i="11"/>
  <c r="CJ37" i="11"/>
  <c r="CI37" i="11"/>
  <c r="CH37" i="11"/>
  <c r="CF37" i="11"/>
  <c r="CE37" i="11"/>
  <c r="CD37" i="11"/>
  <c r="CC37" i="11"/>
  <c r="CB37" i="11"/>
  <c r="CA37" i="11"/>
  <c r="BZ37" i="11"/>
  <c r="BY37" i="11"/>
  <c r="BX37" i="11"/>
  <c r="BS37" i="11"/>
  <c r="BR37" i="11"/>
  <c r="BQ37" i="11"/>
  <c r="BP37" i="11"/>
  <c r="BO37" i="11"/>
  <c r="BN37" i="11"/>
  <c r="BM37" i="11"/>
  <c r="BL37" i="11"/>
  <c r="BK37" i="11"/>
  <c r="BJ37" i="11"/>
  <c r="BI37" i="11"/>
  <c r="CY52" i="11"/>
  <c r="CQ52" i="11"/>
  <c r="CP52" i="11"/>
  <c r="CO52" i="11"/>
  <c r="CN52" i="11"/>
  <c r="CM52" i="11"/>
  <c r="CL52" i="11"/>
  <c r="CK52" i="11"/>
  <c r="CJ52" i="11"/>
  <c r="CI52" i="11"/>
  <c r="CH52" i="11"/>
  <c r="CF52" i="11"/>
  <c r="CE52" i="11"/>
  <c r="CD52" i="11"/>
  <c r="CC52" i="11"/>
  <c r="CB52" i="11"/>
  <c r="CA52" i="11"/>
  <c r="BZ52" i="11"/>
  <c r="BY52" i="11"/>
  <c r="BX52" i="11"/>
  <c r="BS52" i="11"/>
  <c r="BR52" i="11"/>
  <c r="BQ52" i="11"/>
  <c r="BP52" i="11"/>
  <c r="BO52" i="11"/>
  <c r="BN52" i="11"/>
  <c r="BM52" i="11"/>
  <c r="BL52" i="11"/>
  <c r="BK52" i="11"/>
  <c r="BJ52" i="11"/>
  <c r="BI52" i="11"/>
  <c r="CY36" i="11"/>
  <c r="CQ36" i="11"/>
  <c r="CP36" i="11"/>
  <c r="CO36" i="11"/>
  <c r="CN36" i="11"/>
  <c r="CM36" i="11"/>
  <c r="CL36" i="11"/>
  <c r="CK36" i="11"/>
  <c r="CJ36" i="11"/>
  <c r="CI36" i="11"/>
  <c r="CH36" i="11"/>
  <c r="CF36" i="11"/>
  <c r="CE36" i="11"/>
  <c r="CD36" i="11"/>
  <c r="CC36" i="11"/>
  <c r="CB36" i="11"/>
  <c r="CA36" i="11"/>
  <c r="BZ36" i="11"/>
  <c r="BY36" i="11"/>
  <c r="BX36" i="11"/>
  <c r="BS36" i="11"/>
  <c r="BR36" i="11"/>
  <c r="BQ36" i="11"/>
  <c r="BP36" i="11"/>
  <c r="BO36" i="11"/>
  <c r="BN36" i="11"/>
  <c r="BM36" i="11"/>
  <c r="BL36" i="11"/>
  <c r="BK36" i="11"/>
  <c r="BJ36" i="11"/>
  <c r="BI36" i="11"/>
  <c r="CY9" i="11"/>
  <c r="CS9" i="11"/>
  <c r="CQ9" i="11"/>
  <c r="CP9" i="11"/>
  <c r="CO9" i="11"/>
  <c r="CN9" i="11"/>
  <c r="CM9" i="11"/>
  <c r="CL9" i="11"/>
  <c r="CK9" i="11"/>
  <c r="CJ9" i="11"/>
  <c r="CI9" i="11"/>
  <c r="CH9" i="11"/>
  <c r="CF9" i="11"/>
  <c r="CE9" i="11"/>
  <c r="CD9" i="11"/>
  <c r="CC9" i="11"/>
  <c r="CB9" i="11"/>
  <c r="CA9" i="11"/>
  <c r="BZ9" i="11"/>
  <c r="BY9" i="11"/>
  <c r="BX9" i="11"/>
  <c r="BS9" i="11"/>
  <c r="BR9" i="11"/>
  <c r="BQ9" i="11"/>
  <c r="BP9" i="11"/>
  <c r="BO9" i="11"/>
  <c r="BN9" i="11"/>
  <c r="BM9" i="11"/>
  <c r="BL9" i="11"/>
  <c r="BK9" i="11"/>
  <c r="BJ9" i="11"/>
  <c r="BI9" i="11"/>
  <c r="BC9" i="11"/>
  <c r="BB9" i="11"/>
  <c r="BA9" i="11"/>
  <c r="AZ9" i="11"/>
  <c r="AY9" i="11"/>
  <c r="AX9" i="11"/>
  <c r="AW9" i="11"/>
  <c r="AV9" i="11"/>
  <c r="AU9" i="11"/>
  <c r="CY55" i="11"/>
  <c r="CQ55" i="11"/>
  <c r="CP55" i="11"/>
  <c r="CO55" i="11"/>
  <c r="CN55" i="11"/>
  <c r="CM55" i="11"/>
  <c r="CL55" i="11"/>
  <c r="CK55" i="11"/>
  <c r="CJ55" i="11"/>
  <c r="CI55" i="11"/>
  <c r="CH55" i="11"/>
  <c r="CF55" i="11"/>
  <c r="CE55" i="11"/>
  <c r="CD55" i="11"/>
  <c r="CC55" i="11"/>
  <c r="CB55" i="11"/>
  <c r="CA55" i="11"/>
  <c r="BZ55" i="11"/>
  <c r="BY55" i="11"/>
  <c r="BX55" i="11"/>
  <c r="BS55" i="11"/>
  <c r="BR55" i="11"/>
  <c r="BQ55" i="11"/>
  <c r="BP55" i="11"/>
  <c r="BO55" i="11"/>
  <c r="BN55" i="11"/>
  <c r="BM55" i="11"/>
  <c r="BL55" i="11"/>
  <c r="BK55" i="11"/>
  <c r="BJ55" i="11"/>
  <c r="BI55" i="11"/>
  <c r="CY44" i="11"/>
  <c r="CQ44" i="11"/>
  <c r="CP44" i="11"/>
  <c r="CO44" i="11"/>
  <c r="CN44" i="11"/>
  <c r="CM44" i="11"/>
  <c r="CL44" i="11"/>
  <c r="CK44" i="11"/>
  <c r="CJ44" i="11"/>
  <c r="CI44" i="11"/>
  <c r="CH44" i="11"/>
  <c r="CF44" i="11"/>
  <c r="CE44" i="11"/>
  <c r="CD44" i="11"/>
  <c r="CC44" i="11"/>
  <c r="CB44" i="11"/>
  <c r="CA44" i="11"/>
  <c r="BZ44" i="11"/>
  <c r="BY44" i="11"/>
  <c r="BX44" i="11"/>
  <c r="BS44" i="11"/>
  <c r="BR44" i="11"/>
  <c r="BQ44" i="11"/>
  <c r="BP44" i="11"/>
  <c r="BO44" i="11"/>
  <c r="BN44" i="11"/>
  <c r="BM44" i="11"/>
  <c r="BL44" i="11"/>
  <c r="BK44" i="11"/>
  <c r="BJ44" i="11"/>
  <c r="BI44" i="11"/>
  <c r="CY30" i="11"/>
  <c r="CY70" i="11" s="1"/>
  <c r="CQ30" i="11"/>
  <c r="CQ70" i="11" s="1"/>
  <c r="CP30" i="11"/>
  <c r="CO30" i="11"/>
  <c r="CO70" i="11" s="1"/>
  <c r="CN30" i="11"/>
  <c r="CN70" i="11" s="1"/>
  <c r="CM30" i="11"/>
  <c r="CM70" i="11" s="1"/>
  <c r="CL30" i="11"/>
  <c r="CK30" i="11"/>
  <c r="CK70" i="11" s="1"/>
  <c r="CJ30" i="11"/>
  <c r="CJ70" i="11" s="1"/>
  <c r="CI30" i="11"/>
  <c r="CI70" i="11" s="1"/>
  <c r="CH30" i="11"/>
  <c r="CF30" i="11"/>
  <c r="CF70" i="11" s="1"/>
  <c r="CE30" i="11"/>
  <c r="CE70" i="11" s="1"/>
  <c r="CD30" i="11"/>
  <c r="CD70" i="11" s="1"/>
  <c r="CC30" i="11"/>
  <c r="CC70" i="11" s="1"/>
  <c r="CB30" i="11"/>
  <c r="CB70" i="11" s="1"/>
  <c r="CA30" i="11"/>
  <c r="CA70" i="11" s="1"/>
  <c r="BZ30" i="11"/>
  <c r="BZ70" i="11" s="1"/>
  <c r="BY30" i="11"/>
  <c r="BY70" i="11" s="1"/>
  <c r="BX30" i="11"/>
  <c r="BX70" i="11" s="1"/>
  <c r="BS30" i="11"/>
  <c r="BS70" i="11" s="1"/>
  <c r="BR30" i="11"/>
  <c r="BQ30" i="11"/>
  <c r="BP30" i="11"/>
  <c r="BO30" i="11"/>
  <c r="BN30" i="11"/>
  <c r="BM30" i="11"/>
  <c r="BL30" i="11"/>
  <c r="BK30" i="11"/>
  <c r="BJ30" i="11"/>
  <c r="BI30" i="11"/>
  <c r="CY35" i="11"/>
  <c r="CQ35" i="11"/>
  <c r="CP35" i="11"/>
  <c r="CO35" i="11"/>
  <c r="CN35" i="11"/>
  <c r="CM35" i="11"/>
  <c r="CL35" i="11"/>
  <c r="CK35" i="11"/>
  <c r="CJ35" i="11"/>
  <c r="CI35" i="11"/>
  <c r="CH35" i="11"/>
  <c r="CF35" i="11"/>
  <c r="CE35" i="11"/>
  <c r="CD35" i="11"/>
  <c r="CC35" i="11"/>
  <c r="CB35" i="11"/>
  <c r="CA35" i="11"/>
  <c r="BZ35" i="11"/>
  <c r="BY35" i="11"/>
  <c r="BX35" i="11"/>
  <c r="BS35" i="11"/>
  <c r="BR35" i="11"/>
  <c r="BQ35" i="11"/>
  <c r="BP35" i="11"/>
  <c r="BO35" i="11"/>
  <c r="BN35" i="11"/>
  <c r="BM35" i="11"/>
  <c r="BL35" i="11"/>
  <c r="BK35" i="11"/>
  <c r="BJ35" i="11"/>
  <c r="BI35" i="11"/>
  <c r="CY54" i="11"/>
  <c r="CQ54" i="11"/>
  <c r="CP54" i="11"/>
  <c r="CO54" i="11"/>
  <c r="CN54" i="11"/>
  <c r="CM54" i="11"/>
  <c r="CL54" i="11"/>
  <c r="CK54" i="11"/>
  <c r="CJ54" i="11"/>
  <c r="CI54" i="11"/>
  <c r="CH54" i="11"/>
  <c r="CF54" i="11"/>
  <c r="CE54" i="11"/>
  <c r="CD54" i="11"/>
  <c r="CC54" i="11"/>
  <c r="CB54" i="11"/>
  <c r="CA54" i="11"/>
  <c r="BZ54" i="11"/>
  <c r="BY54" i="11"/>
  <c r="BX54" i="11"/>
  <c r="BS54" i="11"/>
  <c r="BR54" i="11"/>
  <c r="BQ54" i="11"/>
  <c r="BP54" i="11"/>
  <c r="BO54" i="11"/>
  <c r="BN54" i="11"/>
  <c r="BM54" i="11"/>
  <c r="BL54" i="11"/>
  <c r="BK54" i="11"/>
  <c r="BJ54" i="11"/>
  <c r="BI54" i="11"/>
  <c r="CY41" i="11"/>
  <c r="CS41" i="11"/>
  <c r="CQ41" i="11"/>
  <c r="CP41" i="11"/>
  <c r="CO41" i="11"/>
  <c r="CN41" i="11"/>
  <c r="CM41" i="11"/>
  <c r="CL41" i="11"/>
  <c r="CK41" i="11"/>
  <c r="CJ41" i="11"/>
  <c r="CI41" i="11"/>
  <c r="CH41" i="11"/>
  <c r="CF41" i="11"/>
  <c r="CE41" i="11"/>
  <c r="CD41" i="11"/>
  <c r="CC41" i="11"/>
  <c r="CB41" i="11"/>
  <c r="CA41" i="11"/>
  <c r="BZ41" i="11"/>
  <c r="BY41" i="11"/>
  <c r="BX41" i="11"/>
  <c r="BS41" i="11"/>
  <c r="BR41" i="11"/>
  <c r="BQ41" i="11"/>
  <c r="BP41" i="11"/>
  <c r="BO41" i="11"/>
  <c r="BN41" i="11"/>
  <c r="BM41" i="11"/>
  <c r="BL41" i="11"/>
  <c r="BK41" i="11"/>
  <c r="BJ41" i="11"/>
  <c r="BI41" i="11"/>
  <c r="CY40" i="11"/>
  <c r="CQ40" i="11"/>
  <c r="CP40" i="11"/>
  <c r="CO40" i="11"/>
  <c r="CN40" i="11"/>
  <c r="CM40" i="11"/>
  <c r="CL40" i="11"/>
  <c r="CK40" i="11"/>
  <c r="CJ40" i="11"/>
  <c r="CI40" i="11"/>
  <c r="CH40" i="11"/>
  <c r="CF40" i="11"/>
  <c r="CE40" i="11"/>
  <c r="CD40" i="11"/>
  <c r="CC40" i="11"/>
  <c r="CB40" i="11"/>
  <c r="CA40" i="11"/>
  <c r="BZ40" i="11"/>
  <c r="BY40" i="11"/>
  <c r="BX40" i="11"/>
  <c r="BS40" i="11"/>
  <c r="BR40" i="11"/>
  <c r="BQ40" i="11"/>
  <c r="BP40" i="11"/>
  <c r="BO40" i="11"/>
  <c r="BN40" i="11"/>
  <c r="BM40" i="11"/>
  <c r="BL40" i="11"/>
  <c r="BK40" i="11"/>
  <c r="BJ40" i="11"/>
  <c r="BI40" i="11"/>
  <c r="CY11" i="11"/>
  <c r="CQ11" i="11"/>
  <c r="CP11" i="11"/>
  <c r="CO11" i="11"/>
  <c r="CN11" i="11"/>
  <c r="CM11" i="11"/>
  <c r="CL11" i="11"/>
  <c r="CK11" i="11"/>
  <c r="CJ11" i="11"/>
  <c r="CI11" i="11"/>
  <c r="CH11" i="11"/>
  <c r="CF11" i="11"/>
  <c r="CE11" i="11"/>
  <c r="CD11" i="11"/>
  <c r="CC11" i="11"/>
  <c r="CB11" i="11"/>
  <c r="CA11" i="11"/>
  <c r="BZ11" i="11"/>
  <c r="BY11" i="11"/>
  <c r="BX11" i="11"/>
  <c r="BS11" i="11"/>
  <c r="BR11" i="11"/>
  <c r="BQ11" i="11"/>
  <c r="BP11" i="11"/>
  <c r="BO11" i="11"/>
  <c r="BN11" i="11"/>
  <c r="BM11" i="11"/>
  <c r="BL11" i="11"/>
  <c r="BK11" i="11"/>
  <c r="BJ11" i="11"/>
  <c r="BI11" i="11"/>
  <c r="AV11" i="11"/>
  <c r="AW11" i="11" s="1"/>
  <c r="AX11" i="11" s="1"/>
  <c r="AY11" i="11" s="1"/>
  <c r="AZ11" i="11" s="1"/>
  <c r="BA11" i="11" s="1"/>
  <c r="BB11" i="11" s="1"/>
  <c r="BC11" i="11" s="1"/>
  <c r="AK11" i="11"/>
  <c r="AL11" i="11" s="1"/>
  <c r="AM11" i="11" s="1"/>
  <c r="AN11" i="11" s="1"/>
  <c r="AO11" i="11" s="1"/>
  <c r="AP11" i="11" s="1"/>
  <c r="AQ11" i="11" s="1"/>
  <c r="AR11" i="11" s="1"/>
  <c r="CY5" i="11"/>
  <c r="CQ5" i="11"/>
  <c r="CP5" i="11"/>
  <c r="CO5" i="11"/>
  <c r="CN5" i="11"/>
  <c r="CM5" i="11"/>
  <c r="CL5" i="11"/>
  <c r="CK5" i="11"/>
  <c r="CJ5" i="11"/>
  <c r="CI5" i="11"/>
  <c r="CH5" i="11"/>
  <c r="CF5" i="11"/>
  <c r="CE5" i="11"/>
  <c r="CD5" i="11"/>
  <c r="CC5" i="11"/>
  <c r="CB5" i="11"/>
  <c r="CA5" i="11"/>
  <c r="BZ5" i="11"/>
  <c r="BY5" i="11"/>
  <c r="BX5" i="11"/>
  <c r="BS5" i="11"/>
  <c r="BR5" i="11"/>
  <c r="BQ5" i="11"/>
  <c r="BP5" i="11"/>
  <c r="BO5" i="11"/>
  <c r="BN5" i="11"/>
  <c r="BM5" i="11"/>
  <c r="BL5" i="11"/>
  <c r="BK5" i="11"/>
  <c r="BJ5" i="11"/>
  <c r="BI5" i="11"/>
  <c r="CY47" i="11"/>
  <c r="CQ47" i="11"/>
  <c r="CP47" i="11"/>
  <c r="CO47" i="11"/>
  <c r="CN47" i="11"/>
  <c r="CM47" i="11"/>
  <c r="CL47" i="11"/>
  <c r="CK47" i="11"/>
  <c r="CJ47" i="11"/>
  <c r="CI47" i="11"/>
  <c r="CH47" i="11"/>
  <c r="CF47" i="11"/>
  <c r="CE47" i="11"/>
  <c r="CD47" i="11"/>
  <c r="CC47" i="11"/>
  <c r="CB47" i="11"/>
  <c r="CA47" i="11"/>
  <c r="BZ47" i="11"/>
  <c r="BY47" i="11"/>
  <c r="BX47" i="11"/>
  <c r="BS47" i="11"/>
  <c r="BR47" i="11"/>
  <c r="BQ47" i="11"/>
  <c r="BP47" i="11"/>
  <c r="BO47" i="11"/>
  <c r="BN47" i="11"/>
  <c r="BM47" i="11"/>
  <c r="BL47" i="11"/>
  <c r="BK47" i="11"/>
  <c r="BJ47" i="11"/>
  <c r="BI47" i="11"/>
  <c r="CY32" i="11"/>
  <c r="CQ32" i="11"/>
  <c r="CP32" i="11"/>
  <c r="CP70" i="11" s="1"/>
  <c r="CO32" i="11"/>
  <c r="CN32" i="11"/>
  <c r="CM32" i="11"/>
  <c r="CL32" i="11"/>
  <c r="CL70" i="11" s="1"/>
  <c r="CK32" i="11"/>
  <c r="CJ32" i="11"/>
  <c r="CI32" i="11"/>
  <c r="CH32" i="11"/>
  <c r="CH70" i="11" s="1"/>
  <c r="CF32" i="11"/>
  <c r="CE32" i="11"/>
  <c r="CD32" i="11"/>
  <c r="CC32" i="11"/>
  <c r="CB32" i="11"/>
  <c r="CA32" i="11"/>
  <c r="BZ32" i="11"/>
  <c r="BY32" i="11"/>
  <c r="BX32" i="11"/>
  <c r="BS32" i="11"/>
  <c r="BR32" i="11"/>
  <c r="BQ32" i="11"/>
  <c r="BP32" i="11"/>
  <c r="BO32" i="11"/>
  <c r="BN32" i="11"/>
  <c r="BM32" i="11"/>
  <c r="BL32" i="11"/>
  <c r="BK32" i="11"/>
  <c r="BJ32" i="11"/>
  <c r="BI32" i="11"/>
  <c r="AV32" i="11"/>
  <c r="AW32" i="11" s="1"/>
  <c r="AX32" i="11" s="1"/>
  <c r="AY32" i="11" s="1"/>
  <c r="AZ32" i="11" s="1"/>
  <c r="BA32" i="11" s="1"/>
  <c r="BB32" i="11" s="1"/>
  <c r="BC32" i="11" s="1"/>
  <c r="AI32" i="11"/>
  <c r="CY39" i="11"/>
  <c r="CQ39" i="11"/>
  <c r="CP39" i="11"/>
  <c r="CO39" i="11"/>
  <c r="CN39" i="11"/>
  <c r="CM39" i="11"/>
  <c r="CL39" i="11"/>
  <c r="CK39" i="11"/>
  <c r="CJ39" i="11"/>
  <c r="CI39" i="11"/>
  <c r="CH39" i="11"/>
  <c r="CF39" i="11"/>
  <c r="CE39" i="11"/>
  <c r="CD39" i="11"/>
  <c r="CC39" i="11"/>
  <c r="CB39" i="11"/>
  <c r="CA39" i="11"/>
  <c r="BZ39" i="11"/>
  <c r="BY39" i="11"/>
  <c r="BX39" i="11"/>
  <c r="BS39" i="11"/>
  <c r="BR39" i="11"/>
  <c r="BQ39" i="11"/>
  <c r="BP39" i="11"/>
  <c r="BO39" i="11"/>
  <c r="BN39" i="11"/>
  <c r="BM39" i="11"/>
  <c r="BL39" i="11"/>
  <c r="BK39" i="11"/>
  <c r="BJ39" i="11"/>
  <c r="BI39" i="11"/>
  <c r="CY33" i="11"/>
  <c r="CQ33" i="11"/>
  <c r="CP33" i="11"/>
  <c r="CO33" i="11"/>
  <c r="CN33" i="11"/>
  <c r="CM33" i="11"/>
  <c r="CL33" i="11"/>
  <c r="CK33" i="11"/>
  <c r="CJ33" i="11"/>
  <c r="CI33" i="11"/>
  <c r="CH33" i="11"/>
  <c r="CF33" i="11"/>
  <c r="CE33" i="11"/>
  <c r="CD33" i="11"/>
  <c r="CC33" i="11"/>
  <c r="CB33" i="11"/>
  <c r="CA33" i="11"/>
  <c r="BZ33" i="11"/>
  <c r="BY33" i="11"/>
  <c r="BX33" i="11"/>
  <c r="BS33" i="11"/>
  <c r="BR33" i="11"/>
  <c r="BQ33" i="11"/>
  <c r="BP33" i="11"/>
  <c r="BO33" i="11"/>
  <c r="BN33" i="11"/>
  <c r="BM33" i="11"/>
  <c r="BL33" i="11"/>
  <c r="BK33" i="11"/>
  <c r="BJ33" i="11"/>
  <c r="BI33" i="11"/>
  <c r="CY12" i="11"/>
  <c r="CQ12" i="11"/>
  <c r="CP12" i="11"/>
  <c r="CO12" i="11"/>
  <c r="CN12" i="11"/>
  <c r="CM12" i="11"/>
  <c r="CL12" i="11"/>
  <c r="CK12" i="11"/>
  <c r="CJ12" i="11"/>
  <c r="CI12" i="11"/>
  <c r="CH12" i="11"/>
  <c r="CF12" i="11"/>
  <c r="CE12" i="11"/>
  <c r="CD12" i="11"/>
  <c r="CC12" i="11"/>
  <c r="CB12" i="11"/>
  <c r="CA12" i="11"/>
  <c r="BZ12" i="11"/>
  <c r="BY12" i="11"/>
  <c r="BX12" i="11"/>
  <c r="BS12" i="11"/>
  <c r="BR12" i="11"/>
  <c r="BQ12" i="11"/>
  <c r="BP12" i="11"/>
  <c r="BO12" i="11"/>
  <c r="BN12" i="11"/>
  <c r="BM12" i="11"/>
  <c r="BL12" i="11"/>
  <c r="BK12" i="11"/>
  <c r="BJ12" i="11"/>
  <c r="BI12" i="11"/>
  <c r="CY6" i="11"/>
  <c r="CQ6" i="11"/>
  <c r="CP6" i="11"/>
  <c r="CO6" i="11"/>
  <c r="CN6" i="11"/>
  <c r="CM6" i="11"/>
  <c r="CL6" i="11"/>
  <c r="CK6" i="11"/>
  <c r="CJ6" i="11"/>
  <c r="CI6" i="11"/>
  <c r="CH6" i="11"/>
  <c r="CF6" i="11"/>
  <c r="CE6" i="11"/>
  <c r="CD6" i="11"/>
  <c r="CC6" i="11"/>
  <c r="CB6" i="11"/>
  <c r="CA6" i="11"/>
  <c r="BZ6" i="11"/>
  <c r="BY6" i="11"/>
  <c r="BX6" i="11"/>
  <c r="BS6" i="11"/>
  <c r="BR6" i="11"/>
  <c r="BQ6" i="11"/>
  <c r="BP6" i="11"/>
  <c r="BO6" i="11"/>
  <c r="BN6" i="11"/>
  <c r="BM6" i="11"/>
  <c r="BL6" i="11"/>
  <c r="BK6" i="11"/>
  <c r="BJ6" i="11"/>
  <c r="BI6" i="11"/>
  <c r="CY8" i="11"/>
  <c r="CQ8" i="11"/>
  <c r="CP8" i="11"/>
  <c r="CO8" i="11"/>
  <c r="CN8" i="11"/>
  <c r="CM8" i="11"/>
  <c r="CL8" i="11"/>
  <c r="CK8" i="11"/>
  <c r="CJ8" i="11"/>
  <c r="CI8" i="11"/>
  <c r="CH8" i="11"/>
  <c r="CF8" i="11"/>
  <c r="CE8" i="11"/>
  <c r="CD8" i="11"/>
  <c r="CC8" i="11"/>
  <c r="CB8" i="11"/>
  <c r="CA8" i="11"/>
  <c r="BZ8" i="11"/>
  <c r="BY8" i="11"/>
  <c r="BX8" i="11"/>
  <c r="BS8" i="11"/>
  <c r="BR8" i="11"/>
  <c r="BQ8" i="11"/>
  <c r="BP8" i="11"/>
  <c r="BO8" i="11"/>
  <c r="BN8" i="11"/>
  <c r="BM8" i="11"/>
  <c r="BL8" i="11"/>
  <c r="BK8" i="11"/>
  <c r="BJ8" i="11"/>
  <c r="BI8" i="11"/>
  <c r="CY7" i="11"/>
  <c r="CQ7" i="11"/>
  <c r="CP7" i="11"/>
  <c r="CO7" i="11"/>
  <c r="CN7" i="11"/>
  <c r="CM7" i="11"/>
  <c r="CL7" i="11"/>
  <c r="CK7" i="11"/>
  <c r="CJ7" i="11"/>
  <c r="CI7" i="11"/>
  <c r="CH7" i="11"/>
  <c r="CF7" i="11"/>
  <c r="CE7" i="11"/>
  <c r="CD7" i="11"/>
  <c r="CC7" i="11"/>
  <c r="CB7" i="11"/>
  <c r="CA7" i="11"/>
  <c r="BZ7" i="11"/>
  <c r="BY7" i="11"/>
  <c r="BX7" i="11"/>
  <c r="BS7" i="11"/>
  <c r="BR7" i="11"/>
  <c r="BQ7" i="11"/>
  <c r="BP7" i="11"/>
  <c r="BO7" i="11"/>
  <c r="BN7" i="11"/>
  <c r="BM7" i="11"/>
  <c r="BL7" i="11"/>
  <c r="BK7" i="11"/>
  <c r="BJ7" i="11"/>
  <c r="BI7" i="11"/>
  <c r="BC7" i="11"/>
  <c r="BB7" i="11"/>
  <c r="BA7" i="11"/>
  <c r="AZ7" i="11"/>
  <c r="AY7" i="11"/>
  <c r="AX7" i="11"/>
  <c r="AW7" i="11"/>
  <c r="AV7" i="11"/>
  <c r="AU7" i="11"/>
  <c r="CY50" i="11"/>
  <c r="CQ50" i="11"/>
  <c r="CP50" i="11"/>
  <c r="CO50" i="11"/>
  <c r="CN50" i="11"/>
  <c r="CM50" i="11"/>
  <c r="CL50" i="11"/>
  <c r="CK50" i="11"/>
  <c r="CJ50" i="11"/>
  <c r="CI50" i="11"/>
  <c r="CH50" i="11"/>
  <c r="CF50" i="11"/>
  <c r="CE50" i="11"/>
  <c r="CD50" i="11"/>
  <c r="CC50" i="11"/>
  <c r="CB50" i="11"/>
  <c r="CA50" i="11"/>
  <c r="BZ50" i="11"/>
  <c r="BY50" i="11"/>
  <c r="BX50" i="11"/>
  <c r="BS50" i="11"/>
  <c r="BR50" i="11"/>
  <c r="BQ50" i="11"/>
  <c r="BP50" i="11"/>
  <c r="BO50" i="11"/>
  <c r="BN50" i="11"/>
  <c r="BM50" i="11"/>
  <c r="BL50" i="11"/>
  <c r="BK50" i="11"/>
  <c r="BJ50" i="11"/>
  <c r="BI50" i="11"/>
  <c r="CY14" i="11"/>
  <c r="CQ14" i="11"/>
  <c r="CP14" i="11"/>
  <c r="CO14" i="11"/>
  <c r="CN14" i="11"/>
  <c r="CM14" i="11"/>
  <c r="CL14" i="11"/>
  <c r="CK14" i="11"/>
  <c r="CJ14" i="11"/>
  <c r="CI14" i="11"/>
  <c r="CH14" i="11"/>
  <c r="CF14" i="11"/>
  <c r="CE14" i="11"/>
  <c r="CD14" i="11"/>
  <c r="CC14" i="11"/>
  <c r="CB14" i="11"/>
  <c r="CA14" i="11"/>
  <c r="BZ14" i="11"/>
  <c r="BY14" i="11"/>
  <c r="BX14" i="11"/>
  <c r="BS14" i="11"/>
  <c r="BR14" i="11"/>
  <c r="BQ14" i="11"/>
  <c r="BP14" i="11"/>
  <c r="BO14" i="11"/>
  <c r="BN14" i="11"/>
  <c r="BM14" i="11"/>
  <c r="BL14" i="11"/>
  <c r="BK14" i="11"/>
  <c r="BJ14" i="11"/>
  <c r="BI14" i="11"/>
  <c r="BC14" i="11"/>
  <c r="BB14" i="11"/>
  <c r="BA14" i="11"/>
  <c r="AZ14" i="11"/>
  <c r="AY14" i="11"/>
  <c r="AX14" i="11"/>
  <c r="AW14" i="11"/>
  <c r="AV14" i="11"/>
  <c r="AU14" i="11"/>
  <c r="AR14" i="11"/>
  <c r="AQ14" i="11"/>
  <c r="AP14" i="11"/>
  <c r="AO14" i="11"/>
  <c r="AN14" i="11"/>
  <c r="AM14" i="11"/>
  <c r="AL14" i="11"/>
  <c r="AK14" i="11"/>
  <c r="AJ14" i="11"/>
  <c r="CY13" i="11"/>
  <c r="CQ13" i="11"/>
  <c r="CP13" i="11"/>
  <c r="CO13" i="11"/>
  <c r="CN13" i="11"/>
  <c r="CM13" i="11"/>
  <c r="CL13" i="11"/>
  <c r="CK13" i="11"/>
  <c r="CJ13" i="11"/>
  <c r="CI13" i="11"/>
  <c r="CH13" i="11"/>
  <c r="CF13" i="11"/>
  <c r="CE13" i="11"/>
  <c r="CD13" i="11"/>
  <c r="CC13" i="11"/>
  <c r="CB13" i="11"/>
  <c r="CA13" i="11"/>
  <c r="BZ13" i="11"/>
  <c r="BY13" i="11"/>
  <c r="BX13" i="11"/>
  <c r="BS13" i="11"/>
  <c r="BR13" i="11"/>
  <c r="BQ13" i="11"/>
  <c r="BP13" i="11"/>
  <c r="BO13" i="11"/>
  <c r="BN13" i="11"/>
  <c r="BM13" i="11"/>
  <c r="BL13" i="11"/>
  <c r="BK13" i="11"/>
  <c r="BJ13" i="11"/>
  <c r="BI13" i="11"/>
  <c r="BC13" i="11"/>
  <c r="BB13" i="11"/>
  <c r="BA13" i="11"/>
  <c r="AZ13" i="11"/>
  <c r="AY13" i="11"/>
  <c r="AX13" i="11"/>
  <c r="AW13" i="11"/>
  <c r="AV13" i="11"/>
  <c r="AR13" i="11"/>
  <c r="AQ13" i="11"/>
  <c r="AP13" i="11"/>
  <c r="AO13" i="11"/>
  <c r="AN13" i="11"/>
  <c r="AM13" i="11"/>
  <c r="AL13" i="11"/>
  <c r="AK13" i="11"/>
  <c r="AJ13" i="11"/>
  <c r="BY69" i="11" l="1"/>
  <c r="CI69" i="11"/>
  <c r="CM69" i="11"/>
  <c r="CM73" i="11" s="1"/>
  <c r="CQ69" i="11"/>
  <c r="CQ73" i="11" s="1"/>
  <c r="BS69" i="11"/>
  <c r="CA69" i="11"/>
  <c r="CA73" i="11" s="1"/>
  <c r="CE69" i="11"/>
  <c r="CJ69" i="11"/>
  <c r="CJ73" i="11" s="1"/>
  <c r="CN69" i="11"/>
  <c r="CY69" i="11"/>
  <c r="CY73" i="11" s="1"/>
  <c r="CC69" i="11"/>
  <c r="CC73" i="11" s="1"/>
  <c r="BZ69" i="11"/>
  <c r="BZ73" i="11" s="1"/>
  <c r="CD69" i="11"/>
  <c r="CD73" i="11" s="1"/>
  <c r="BX69" i="11"/>
  <c r="CB69" i="11"/>
  <c r="CB73" i="11" s="1"/>
  <c r="CF69" i="11"/>
  <c r="CF73" i="11" s="1"/>
  <c r="CK69" i="11"/>
  <c r="CK73" i="11" s="1"/>
  <c r="CO69" i="11"/>
  <c r="CH69" i="11"/>
  <c r="CH73" i="11" s="1"/>
  <c r="CL69" i="11"/>
  <c r="CL73" i="11" s="1"/>
  <c r="CP69" i="11"/>
  <c r="BS73" i="11"/>
  <c r="CE73" i="11"/>
  <c r="CN73" i="11"/>
  <c r="BX73" i="11"/>
  <c r="CO73" i="11"/>
  <c r="BY73" i="11"/>
  <c r="CP73" i="11"/>
  <c r="CI73" i="11"/>
  <c r="CO58" i="11"/>
  <c r="BY58" i="11"/>
  <c r="CH58" i="11"/>
  <c r="CL58" i="11"/>
  <c r="BX58" i="11"/>
  <c r="CB58" i="11"/>
  <c r="CJ58" i="11"/>
  <c r="CN58" i="11"/>
  <c r="CY58" i="11"/>
  <c r="BZ58" i="11"/>
  <c r="CI58" i="11"/>
  <c r="CM58" i="11"/>
  <c r="CQ58" i="11"/>
  <c r="CK58" i="11"/>
  <c r="CC58" i="11"/>
  <c r="CP58" i="11"/>
  <c r="CA58" i="11"/>
  <c r="BS58" i="11"/>
  <c r="CG38" i="11"/>
  <c r="CG13" i="11"/>
  <c r="CG7" i="11"/>
  <c r="CG50" i="11"/>
  <c r="CG11" i="11"/>
  <c r="CG36" i="11"/>
  <c r="CG52" i="11"/>
  <c r="CG46" i="11"/>
  <c r="CG34" i="11"/>
  <c r="CG15" i="11"/>
  <c r="CG22" i="11"/>
  <c r="CG45" i="11"/>
  <c r="CG16" i="11"/>
  <c r="CG18" i="11"/>
  <c r="CG12" i="11"/>
  <c r="CG48" i="11"/>
  <c r="CG20" i="11"/>
  <c r="CG53" i="11"/>
  <c r="CG49" i="11"/>
  <c r="CG25" i="11"/>
  <c r="CG39" i="11"/>
  <c r="CG5" i="11"/>
  <c r="CG35" i="11"/>
  <c r="CG30" i="11"/>
  <c r="CG56" i="11"/>
  <c r="CG10" i="11"/>
  <c r="CG24" i="11"/>
  <c r="CG28" i="11"/>
  <c r="CG17" i="11"/>
  <c r="CG19" i="11"/>
  <c r="CG33" i="11"/>
  <c r="CG47" i="11"/>
  <c r="CG40" i="11"/>
  <c r="CG41" i="11"/>
  <c r="CG54" i="11"/>
  <c r="CG37" i="11"/>
  <c r="CG57" i="11"/>
  <c r="CG42" i="11"/>
  <c r="CG32" i="11"/>
  <c r="CG44" i="11"/>
  <c r="CG55" i="11"/>
  <c r="CG9" i="11"/>
  <c r="CG26" i="11"/>
  <c r="CG31" i="11"/>
  <c r="CG29" i="11"/>
  <c r="CG51" i="11"/>
  <c r="CG43" i="11"/>
  <c r="CG27" i="11"/>
  <c r="CG4" i="11"/>
  <c r="CG23" i="11"/>
  <c r="CG21" i="11"/>
  <c r="K123" i="3"/>
  <c r="K124" i="3"/>
  <c r="K125" i="3"/>
  <c r="K126" i="3"/>
  <c r="K127" i="3"/>
  <c r="M127" i="3" s="1"/>
  <c r="K122" i="3"/>
  <c r="M122" i="3" s="1"/>
  <c r="J123" i="3"/>
  <c r="J124" i="3"/>
  <c r="J125" i="3"/>
  <c r="J126" i="3"/>
  <c r="J127" i="3"/>
  <c r="J122" i="3"/>
  <c r="I123" i="3"/>
  <c r="I124" i="3"/>
  <c r="I125" i="3"/>
  <c r="I126" i="3"/>
  <c r="I127" i="3"/>
  <c r="I122" i="3"/>
  <c r="M126" i="3"/>
  <c r="M125" i="3"/>
  <c r="M124" i="3"/>
  <c r="M123" i="3"/>
  <c r="CG69" i="11" l="1"/>
  <c r="CG70" i="11"/>
  <c r="CG73" i="11" s="1"/>
  <c r="CG58" i="11"/>
  <c r="DA65" i="2"/>
  <c r="DA67" i="2"/>
  <c r="DA68" i="2"/>
  <c r="DA69" i="2"/>
  <c r="DA71" i="2"/>
  <c r="DA72" i="2"/>
  <c r="DA73" i="2"/>
  <c r="DA75" i="2"/>
  <c r="DA77" i="2"/>
  <c r="DA79" i="2"/>
  <c r="DA80" i="2"/>
  <c r="DA81" i="2"/>
  <c r="DA83" i="2"/>
  <c r="DA84" i="2"/>
  <c r="DA86" i="2"/>
  <c r="DA88" i="2"/>
  <c r="DA89" i="2"/>
  <c r="DA90" i="2"/>
  <c r="DA92" i="2"/>
  <c r="DA93" i="2"/>
  <c r="DA94" i="2"/>
  <c r="DA96" i="2"/>
  <c r="DA98" i="2"/>
  <c r="DA54" i="2"/>
  <c r="DA58" i="2"/>
  <c r="DA61" i="2"/>
  <c r="DA62" i="2"/>
  <c r="DA64" i="2"/>
  <c r="DA36" i="2"/>
  <c r="DA25" i="2" s="1"/>
  <c r="DA40" i="2"/>
  <c r="DA43" i="2"/>
  <c r="DA44" i="2"/>
  <c r="DA45" i="2"/>
  <c r="DA47" i="2"/>
  <c r="DA49" i="2"/>
  <c r="DA51" i="2"/>
  <c r="DA53" i="2"/>
  <c r="AN4" i="3"/>
  <c r="AM4" i="3"/>
  <c r="AL4" i="3"/>
  <c r="AK4" i="3"/>
  <c r="AJ4" i="3"/>
  <c r="AI4" i="3"/>
  <c r="AH4" i="3"/>
  <c r="AG4" i="3"/>
  <c r="CJ4" i="2"/>
  <c r="CK4" i="2"/>
  <c r="CL4" i="2"/>
  <c r="CM4" i="2"/>
  <c r="CN4" i="2"/>
  <c r="CO4" i="2"/>
  <c r="CP4" i="2"/>
  <c r="CI4" i="2"/>
  <c r="AF4" i="3"/>
  <c r="DA28" i="2"/>
  <c r="DA29" i="2"/>
  <c r="DA31" i="2"/>
  <c r="DA33" i="2"/>
  <c r="DA34" i="2"/>
  <c r="DA35" i="2"/>
  <c r="DA27" i="2"/>
  <c r="CP13" i="10"/>
  <c r="CY15" i="1"/>
  <c r="CY13" i="1"/>
  <c r="CS13" i="1"/>
  <c r="CJ13" i="1"/>
  <c r="CK13" i="1"/>
  <c r="CL13" i="1"/>
  <c r="CM13" i="1"/>
  <c r="CN13" i="1"/>
  <c r="CO13" i="1"/>
  <c r="CP13" i="1"/>
  <c r="CI13" i="1"/>
  <c r="CH13" i="1"/>
  <c r="CG13" i="1"/>
  <c r="CA13" i="1"/>
  <c r="CB13" i="1"/>
  <c r="CC13" i="1"/>
  <c r="CD13" i="1"/>
  <c r="CE13" i="1"/>
  <c r="CF13" i="1"/>
  <c r="BZ13" i="1"/>
  <c r="BY13" i="1"/>
  <c r="BM13" i="1"/>
  <c r="BN13" i="1"/>
  <c r="BO13" i="1"/>
  <c r="BP13" i="1"/>
  <c r="BQ13" i="1"/>
  <c r="BR13" i="1"/>
  <c r="BS13" i="1"/>
  <c r="BL13" i="1"/>
  <c r="BK13" i="1"/>
  <c r="N18" i="7"/>
  <c r="BS18" i="1"/>
  <c r="BS16" i="1" s="1"/>
  <c r="CP16" i="10"/>
  <c r="P16" i="7"/>
  <c r="CS16" i="2"/>
  <c r="CS16" i="1"/>
  <c r="CG18" i="2"/>
  <c r="BT18" i="1"/>
  <c r="S16" i="3"/>
  <c r="U16" i="3"/>
  <c r="CJ16" i="1"/>
  <c r="CK16" i="1"/>
  <c r="CL16" i="1"/>
  <c r="CM16" i="1"/>
  <c r="CN16" i="1"/>
  <c r="CO16" i="1"/>
  <c r="CI16" i="1"/>
  <c r="CH16" i="1"/>
  <c r="CG16" i="1"/>
  <c r="CA16" i="1"/>
  <c r="CB16" i="1"/>
  <c r="CC16" i="1"/>
  <c r="CD16" i="1"/>
  <c r="CE16" i="1"/>
  <c r="CF16" i="1"/>
  <c r="BZ16" i="1"/>
  <c r="BY16" i="1"/>
  <c r="BL16" i="1"/>
  <c r="BM16" i="1"/>
  <c r="BN16" i="1"/>
  <c r="BO16" i="1"/>
  <c r="BP16" i="1"/>
  <c r="BQ16" i="1"/>
  <c r="BR16" i="1"/>
  <c r="BK16" i="1"/>
  <c r="AO4" i="3" l="1"/>
  <c r="X78" i="3"/>
  <c r="X65" i="3" s="1"/>
  <c r="Y78" i="3"/>
  <c r="Y65" i="3" s="1"/>
  <c r="Z78" i="3"/>
  <c r="Z65" i="3" s="1"/>
  <c r="AA78" i="3"/>
  <c r="AA65" i="3" s="1"/>
  <c r="AB78" i="3"/>
  <c r="AB65" i="3" s="1"/>
  <c r="AC78" i="3"/>
  <c r="AC65" i="3" s="1"/>
  <c r="AD78" i="3"/>
  <c r="AD65" i="3" s="1"/>
  <c r="AE78" i="3"/>
  <c r="AE65" i="3" s="1"/>
  <c r="W78" i="3"/>
  <c r="W65" i="3" s="1"/>
  <c r="CH98" i="1" l="1"/>
  <c r="CI98" i="1"/>
  <c r="CJ98" i="1"/>
  <c r="CK98" i="1"/>
  <c r="CL98" i="1"/>
  <c r="CM98" i="1"/>
  <c r="CN98" i="1"/>
  <c r="CO98" i="1"/>
  <c r="CP98" i="1"/>
  <c r="CE98" i="10" l="1"/>
  <c r="CN98" i="10" s="1"/>
  <c r="CV98" i="10" s="1"/>
  <c r="CV97" i="10" s="1"/>
  <c r="BV98" i="10"/>
  <c r="BQ98" i="10"/>
  <c r="CP97" i="10"/>
  <c r="CM97" i="10"/>
  <c r="CL97" i="10"/>
  <c r="CK97" i="10"/>
  <c r="CJ97" i="10"/>
  <c r="CI97" i="10"/>
  <c r="CH97" i="10"/>
  <c r="CG97" i="10"/>
  <c r="CF97" i="10"/>
  <c r="CE97" i="10"/>
  <c r="CD97" i="10"/>
  <c r="CC97" i="10"/>
  <c r="CB97" i="10"/>
  <c r="CA97" i="10"/>
  <c r="BZ97" i="10"/>
  <c r="BY97" i="10"/>
  <c r="BX97" i="10"/>
  <c r="BW97" i="10"/>
  <c r="BV97" i="10"/>
  <c r="BP97" i="10"/>
  <c r="BO97" i="10"/>
  <c r="BN97" i="10"/>
  <c r="BM97" i="10"/>
  <c r="BL97" i="10"/>
  <c r="BK97" i="10"/>
  <c r="BJ97" i="10"/>
  <c r="BI97" i="10"/>
  <c r="BH97" i="10"/>
  <c r="BG97" i="10"/>
  <c r="CM96" i="10"/>
  <c r="CL96" i="10"/>
  <c r="CL95" i="10" s="1"/>
  <c r="CK96" i="10"/>
  <c r="CK95" i="10" s="1"/>
  <c r="CJ96" i="10"/>
  <c r="CJ95" i="10" s="1"/>
  <c r="CH96" i="10"/>
  <c r="CH95" i="10" s="1"/>
  <c r="CF96" i="10"/>
  <c r="CF95" i="10" s="1"/>
  <c r="BZ96" i="10"/>
  <c r="BX96" i="10"/>
  <c r="CG96" i="10" s="1"/>
  <c r="CG95" i="10" s="1"/>
  <c r="BV96" i="10"/>
  <c r="CE96" i="10" s="1"/>
  <c r="CE95" i="10" s="1"/>
  <c r="BQ96" i="10"/>
  <c r="BG96" i="10"/>
  <c r="BG95" i="10" s="1"/>
  <c r="CP95" i="10"/>
  <c r="CM95" i="10"/>
  <c r="CD95" i="10"/>
  <c r="CC95" i="10"/>
  <c r="CB95" i="10"/>
  <c r="CA95" i="10"/>
  <c r="BY95" i="10"/>
  <c r="BW95" i="10"/>
  <c r="BP95" i="10"/>
  <c r="BO95" i="10"/>
  <c r="BN95" i="10"/>
  <c r="BM95" i="10"/>
  <c r="BL95" i="10"/>
  <c r="BK95" i="10"/>
  <c r="BJ95" i="10"/>
  <c r="BI95" i="10"/>
  <c r="BH95" i="10"/>
  <c r="CP94" i="10"/>
  <c r="CD94" i="10"/>
  <c r="CM94" i="10" s="1"/>
  <c r="CC94" i="10"/>
  <c r="CL94" i="10" s="1"/>
  <c r="CB94" i="10"/>
  <c r="CK94" i="10" s="1"/>
  <c r="CA94" i="10"/>
  <c r="CJ94" i="10" s="1"/>
  <c r="BZ94" i="10"/>
  <c r="CI94" i="10" s="1"/>
  <c r="BY94" i="10"/>
  <c r="CH94" i="10" s="1"/>
  <c r="BX94" i="10"/>
  <c r="CG94" i="10" s="1"/>
  <c r="BW94" i="10"/>
  <c r="CF94" i="10" s="1"/>
  <c r="BV94" i="10"/>
  <c r="CE94" i="10" s="1"/>
  <c r="BQ94" i="10"/>
  <c r="BV93" i="10"/>
  <c r="CE93" i="10" s="1"/>
  <c r="BQ93" i="10"/>
  <c r="CD92" i="10"/>
  <c r="CM92" i="10" s="1"/>
  <c r="CC92" i="10"/>
  <c r="CB92" i="10"/>
  <c r="CK92" i="10" s="1"/>
  <c r="CA92" i="10"/>
  <c r="CJ92" i="10" s="1"/>
  <c r="BZ92" i="10"/>
  <c r="CI92" i="10" s="1"/>
  <c r="BY92" i="10"/>
  <c r="BX92" i="10"/>
  <c r="CG92" i="10" s="1"/>
  <c r="BW92" i="10"/>
  <c r="CF92" i="10" s="1"/>
  <c r="BV92" i="10"/>
  <c r="CE92" i="10" s="1"/>
  <c r="BQ92" i="10"/>
  <c r="CP91" i="10"/>
  <c r="BP91" i="10"/>
  <c r="BO91" i="10"/>
  <c r="BN91" i="10"/>
  <c r="BM91" i="10"/>
  <c r="BL91" i="10"/>
  <c r="BK91" i="10"/>
  <c r="BJ91" i="10"/>
  <c r="BI91" i="10"/>
  <c r="BH91" i="10"/>
  <c r="BG91" i="10"/>
  <c r="CD90" i="10"/>
  <c r="CC90" i="10"/>
  <c r="CL90" i="10" s="1"/>
  <c r="CB90" i="10"/>
  <c r="CK90" i="10" s="1"/>
  <c r="CA90" i="10"/>
  <c r="CJ90" i="10" s="1"/>
  <c r="BZ90" i="10"/>
  <c r="BY90" i="10"/>
  <c r="CH90" i="10" s="1"/>
  <c r="BX90" i="10"/>
  <c r="CG90" i="10" s="1"/>
  <c r="BW90" i="10"/>
  <c r="CF90" i="10" s="1"/>
  <c r="BV90" i="10"/>
  <c r="BQ90" i="10"/>
  <c r="CM89" i="10"/>
  <c r="CL89" i="10"/>
  <c r="CK89" i="10"/>
  <c r="CJ89" i="10"/>
  <c r="CI89" i="10"/>
  <c r="CH89" i="10"/>
  <c r="BX89" i="10"/>
  <c r="CG89" i="10" s="1"/>
  <c r="BW89" i="10"/>
  <c r="CF89" i="10" s="1"/>
  <c r="BV89" i="10"/>
  <c r="CE89" i="10" s="1"/>
  <c r="BQ89" i="10"/>
  <c r="CM88" i="10"/>
  <c r="CL88" i="10"/>
  <c r="CK88" i="10"/>
  <c r="CJ88" i="10"/>
  <c r="CI88" i="10"/>
  <c r="CH88" i="10"/>
  <c r="CG88" i="10"/>
  <c r="CF88" i="10"/>
  <c r="CE88" i="10"/>
  <c r="BQ88" i="10"/>
  <c r="CP87" i="10"/>
  <c r="CB87" i="10"/>
  <c r="BW87" i="10"/>
  <c r="BP87" i="10"/>
  <c r="BO87" i="10"/>
  <c r="BN87" i="10"/>
  <c r="BM87" i="10"/>
  <c r="BL87" i="10"/>
  <c r="BK87" i="10"/>
  <c r="BJ87" i="10"/>
  <c r="BI87" i="10"/>
  <c r="BH87" i="10"/>
  <c r="BG87" i="10"/>
  <c r="CP86" i="10"/>
  <c r="CM86" i="10"/>
  <c r="CM85" i="10" s="1"/>
  <c r="CL86" i="10"/>
  <c r="CK86" i="10"/>
  <c r="CK85" i="10" s="1"/>
  <c r="CJ86" i="10"/>
  <c r="CJ85" i="10" s="1"/>
  <c r="CI86" i="10"/>
  <c r="CI85" i="10" s="1"/>
  <c r="CH86" i="10"/>
  <c r="CH85" i="10" s="1"/>
  <c r="CG86" i="10"/>
  <c r="CG85" i="10" s="1"/>
  <c r="CF86" i="10"/>
  <c r="CF85" i="10" s="1"/>
  <c r="CE86" i="10"/>
  <c r="BV86" i="10"/>
  <c r="BQ86" i="10"/>
  <c r="CP85" i="10"/>
  <c r="CL85" i="10"/>
  <c r="CD85" i="10"/>
  <c r="CC85" i="10"/>
  <c r="CB85" i="10"/>
  <c r="CA85" i="10"/>
  <c r="BZ85" i="10"/>
  <c r="BY85" i="10"/>
  <c r="BX85" i="10"/>
  <c r="BW85" i="10"/>
  <c r="BV85" i="10"/>
  <c r="BP85" i="10"/>
  <c r="BO85" i="10"/>
  <c r="BN85" i="10"/>
  <c r="BM85" i="10"/>
  <c r="BL85" i="10"/>
  <c r="BK85" i="10"/>
  <c r="BJ85" i="10"/>
  <c r="BI85" i="10"/>
  <c r="BH85" i="10"/>
  <c r="BG85" i="10"/>
  <c r="CP84" i="10"/>
  <c r="CD84" i="10"/>
  <c r="CM84" i="10" s="1"/>
  <c r="CC84" i="10"/>
  <c r="CB84" i="10"/>
  <c r="CK84" i="10" s="1"/>
  <c r="CA84" i="10"/>
  <c r="CJ84" i="10" s="1"/>
  <c r="BZ84" i="10"/>
  <c r="CI84" i="10" s="1"/>
  <c r="BY84" i="10"/>
  <c r="CH84" i="10" s="1"/>
  <c r="BX84" i="10"/>
  <c r="CG84" i="10" s="1"/>
  <c r="BW84" i="10"/>
  <c r="CF84" i="10" s="1"/>
  <c r="BV84" i="10"/>
  <c r="CE84" i="10" s="1"/>
  <c r="BQ84" i="10"/>
  <c r="CP83" i="10"/>
  <c r="CD83" i="10"/>
  <c r="CM83" i="10" s="1"/>
  <c r="CM82" i="10" s="1"/>
  <c r="CC83" i="10"/>
  <c r="CL83" i="10" s="1"/>
  <c r="CB83" i="10"/>
  <c r="CK83" i="10" s="1"/>
  <c r="CA83" i="10"/>
  <c r="BZ83" i="10"/>
  <c r="CI83" i="10" s="1"/>
  <c r="CI82" i="10" s="1"/>
  <c r="BY83" i="10"/>
  <c r="CH83" i="10" s="1"/>
  <c r="BX83" i="10"/>
  <c r="CG83" i="10" s="1"/>
  <c r="BW83" i="10"/>
  <c r="BV83" i="10"/>
  <c r="CE83" i="10" s="1"/>
  <c r="BQ83" i="10"/>
  <c r="CB82" i="10"/>
  <c r="BP82" i="10"/>
  <c r="BO82" i="10"/>
  <c r="BN82" i="10"/>
  <c r="BM82" i="10"/>
  <c r="BL82" i="10"/>
  <c r="BK82" i="10"/>
  <c r="BJ82" i="10"/>
  <c r="BI82" i="10"/>
  <c r="BH82" i="10"/>
  <c r="BG82" i="10"/>
  <c r="CM81" i="10"/>
  <c r="CL81" i="10"/>
  <c r="CK81" i="10"/>
  <c r="CJ81" i="10"/>
  <c r="CI81" i="10"/>
  <c r="CH81" i="10"/>
  <c r="CG81" i="10"/>
  <c r="CF81" i="10"/>
  <c r="CE81" i="10"/>
  <c r="BQ81" i="10"/>
  <c r="CP80" i="10"/>
  <c r="CM80" i="10"/>
  <c r="CL80" i="10"/>
  <c r="CK80" i="10"/>
  <c r="CJ80" i="10"/>
  <c r="CI80" i="10"/>
  <c r="CH80" i="10"/>
  <c r="CG80" i="10"/>
  <c r="BV80" i="10"/>
  <c r="CE80" i="10" s="1"/>
  <c r="BT80" i="10"/>
  <c r="BR80" i="10"/>
  <c r="BQ80" i="10"/>
  <c r="CP79" i="10"/>
  <c r="BX79" i="10" s="1"/>
  <c r="CD79" i="10"/>
  <c r="CC79" i="10"/>
  <c r="CB79" i="10"/>
  <c r="CA79" i="10"/>
  <c r="BZ79" i="10"/>
  <c r="BY79" i="10"/>
  <c r="BY78" i="10" s="1"/>
  <c r="BT79" i="10"/>
  <c r="BR79" i="10"/>
  <c r="BP79" i="10"/>
  <c r="BP78" i="10" s="1"/>
  <c r="BO79" i="10"/>
  <c r="BO78" i="10" s="1"/>
  <c r="BN79" i="10"/>
  <c r="BM79" i="10"/>
  <c r="BM78" i="10" s="1"/>
  <c r="BL79" i="10"/>
  <c r="BL78" i="10" s="1"/>
  <c r="BK79" i="10"/>
  <c r="BK78" i="10" s="1"/>
  <c r="BJ79" i="10"/>
  <c r="BJ78" i="10" s="1"/>
  <c r="BI79" i="10"/>
  <c r="BI78" i="10" s="1"/>
  <c r="BH79" i="10"/>
  <c r="CC78" i="10"/>
  <c r="BN78" i="10"/>
  <c r="BG78" i="10"/>
  <c r="CD77" i="10"/>
  <c r="CC77" i="10"/>
  <c r="CL77" i="10" s="1"/>
  <c r="CL76" i="10" s="1"/>
  <c r="CB77" i="10"/>
  <c r="CK77" i="10" s="1"/>
  <c r="CK76" i="10" s="1"/>
  <c r="CA77" i="10"/>
  <c r="CA76" i="10" s="1"/>
  <c r="BZ77" i="10"/>
  <c r="BY77" i="10"/>
  <c r="CH77" i="10" s="1"/>
  <c r="CH76" i="10" s="1"/>
  <c r="BX77" i="10"/>
  <c r="CG77" i="10" s="1"/>
  <c r="CG76" i="10" s="1"/>
  <c r="BW77" i="10"/>
  <c r="BW76" i="10" s="1"/>
  <c r="BV77" i="10"/>
  <c r="BQ77" i="10"/>
  <c r="CP76" i="10"/>
  <c r="CB76" i="10"/>
  <c r="BP76" i="10"/>
  <c r="BO76" i="10"/>
  <c r="BN76" i="10"/>
  <c r="BM76" i="10"/>
  <c r="BL76" i="10"/>
  <c r="BK76" i="10"/>
  <c r="BJ76" i="10"/>
  <c r="BI76" i="10"/>
  <c r="BH76" i="10"/>
  <c r="BG76" i="10"/>
  <c r="CP75" i="10"/>
  <c r="CM75" i="10"/>
  <c r="CM74" i="10" s="1"/>
  <c r="CL75" i="10"/>
  <c r="CL74" i="10" s="1"/>
  <c r="CK75" i="10"/>
  <c r="CK74" i="10" s="1"/>
  <c r="CJ75" i="10"/>
  <c r="CJ74" i="10" s="1"/>
  <c r="CI75" i="10"/>
  <c r="CI74" i="10" s="1"/>
  <c r="CH75" i="10"/>
  <c r="CH74" i="10" s="1"/>
  <c r="BX75" i="10"/>
  <c r="BX74" i="10" s="1"/>
  <c r="BW75" i="10"/>
  <c r="BW74" i="10" s="1"/>
  <c r="BV75" i="10"/>
  <c r="BQ75" i="10"/>
  <c r="CP74" i="10"/>
  <c r="CD74" i="10"/>
  <c r="CC74" i="10"/>
  <c r="CB74" i="10"/>
  <c r="CA74" i="10"/>
  <c r="BZ74" i="10"/>
  <c r="BY74" i="10"/>
  <c r="BP74" i="10"/>
  <c r="BO74" i="10"/>
  <c r="BN74" i="10"/>
  <c r="BM74" i="10"/>
  <c r="BL74" i="10"/>
  <c r="BK74" i="10"/>
  <c r="BJ74" i="10"/>
  <c r="BI74" i="10"/>
  <c r="BH74" i="10"/>
  <c r="BG74" i="10"/>
  <c r="BP73" i="10"/>
  <c r="BO73" i="10"/>
  <c r="BN73" i="10"/>
  <c r="BM73" i="10"/>
  <c r="BL73" i="10"/>
  <c r="BK73" i="10"/>
  <c r="BJ73" i="10"/>
  <c r="BI73" i="10"/>
  <c r="BH73" i="10"/>
  <c r="BA73" i="10"/>
  <c r="CD73" i="10" s="1"/>
  <c r="AZ73" i="10"/>
  <c r="CC73" i="10" s="1"/>
  <c r="AY73" i="10"/>
  <c r="CB73" i="10" s="1"/>
  <c r="AX73" i="10"/>
  <c r="CA73" i="10" s="1"/>
  <c r="AW73" i="10"/>
  <c r="BZ73" i="10" s="1"/>
  <c r="AV73" i="10"/>
  <c r="BY73" i="10" s="1"/>
  <c r="AU73" i="10"/>
  <c r="BX73" i="10" s="1"/>
  <c r="AT73" i="10"/>
  <c r="BW73" i="10" s="1"/>
  <c r="AS73" i="10"/>
  <c r="BV73" i="10" s="1"/>
  <c r="CM72" i="10"/>
  <c r="CL72" i="10"/>
  <c r="CK72" i="10"/>
  <c r="CJ72" i="10"/>
  <c r="CI72" i="10"/>
  <c r="CH72" i="10"/>
  <c r="CG72" i="10"/>
  <c r="BW72" i="10"/>
  <c r="CF72" i="10" s="1"/>
  <c r="BV72" i="10"/>
  <c r="CE72" i="10" s="1"/>
  <c r="BQ72" i="10"/>
  <c r="BP71" i="10"/>
  <c r="BO71" i="10"/>
  <c r="BN71" i="10"/>
  <c r="BN70" i="10" s="1"/>
  <c r="BM71" i="10"/>
  <c r="BL71" i="10"/>
  <c r="BK71" i="10"/>
  <c r="BJ71" i="10"/>
  <c r="BJ70" i="10" s="1"/>
  <c r="BI71" i="10"/>
  <c r="BH71" i="10"/>
  <c r="BA71" i="10"/>
  <c r="CD71" i="10" s="1"/>
  <c r="AZ71" i="10"/>
  <c r="CC71" i="10" s="1"/>
  <c r="AY71" i="10"/>
  <c r="CB71" i="10" s="1"/>
  <c r="AX71" i="10"/>
  <c r="CA71" i="10" s="1"/>
  <c r="AW71" i="10"/>
  <c r="BZ71" i="10" s="1"/>
  <c r="AV71" i="10"/>
  <c r="BY71" i="10" s="1"/>
  <c r="AU71" i="10"/>
  <c r="BX71" i="10" s="1"/>
  <c r="AT71" i="10"/>
  <c r="BW71" i="10" s="1"/>
  <c r="AS71" i="10"/>
  <c r="BV71" i="10" s="1"/>
  <c r="CP70" i="10"/>
  <c r="BG70" i="10"/>
  <c r="CP69" i="10"/>
  <c r="CP66" i="10" s="1"/>
  <c r="CM69" i="10"/>
  <c r="CL69" i="10"/>
  <c r="CK69" i="10"/>
  <c r="CJ69" i="10"/>
  <c r="CI69" i="10"/>
  <c r="CH69" i="10"/>
  <c r="CG69" i="10"/>
  <c r="BW69" i="10"/>
  <c r="CF69" i="10" s="1"/>
  <c r="BV69" i="10"/>
  <c r="CE69" i="10" s="1"/>
  <c r="BQ69" i="10"/>
  <c r="BV68" i="10"/>
  <c r="BH68" i="10"/>
  <c r="BH67" i="10"/>
  <c r="BG66" i="10"/>
  <c r="CD64" i="10"/>
  <c r="CC64" i="10"/>
  <c r="CC63" i="10" s="1"/>
  <c r="CB64" i="10"/>
  <c r="CA64" i="10"/>
  <c r="CA63" i="10" s="1"/>
  <c r="BZ64" i="10"/>
  <c r="BY64" i="10"/>
  <c r="BY63" i="10" s="1"/>
  <c r="BX64" i="10"/>
  <c r="BW64" i="10"/>
  <c r="BV64" i="10"/>
  <c r="BP64" i="10"/>
  <c r="BP63" i="10" s="1"/>
  <c r="BP59" i="10" s="1"/>
  <c r="BO64" i="10"/>
  <c r="BO63" i="10" s="1"/>
  <c r="BO59" i="10" s="1"/>
  <c r="BN64" i="10"/>
  <c r="BN63" i="10" s="1"/>
  <c r="BN59" i="10" s="1"/>
  <c r="BM64" i="10"/>
  <c r="BM63" i="10" s="1"/>
  <c r="BM59" i="10" s="1"/>
  <c r="BL64" i="10"/>
  <c r="BL63" i="10" s="1"/>
  <c r="BL59" i="10" s="1"/>
  <c r="BK64" i="10"/>
  <c r="BK63" i="10" s="1"/>
  <c r="BK59" i="10" s="1"/>
  <c r="BJ64" i="10"/>
  <c r="BJ63" i="10" s="1"/>
  <c r="BI64" i="10"/>
  <c r="BI63" i="10" s="1"/>
  <c r="BH64" i="10"/>
  <c r="CP63" i="10"/>
  <c r="CP59" i="10" s="1"/>
  <c r="BG63" i="10"/>
  <c r="BG59" i="10" s="1"/>
  <c r="CM62" i="10"/>
  <c r="CL62" i="10"/>
  <c r="CK62" i="10"/>
  <c r="CJ62" i="10"/>
  <c r="CI62" i="10"/>
  <c r="CH62" i="10"/>
  <c r="CG62" i="10"/>
  <c r="CF62" i="10"/>
  <c r="BV62" i="10"/>
  <c r="CE62" i="10" s="1"/>
  <c r="BQ62" i="10"/>
  <c r="CD61" i="10"/>
  <c r="CC61" i="10"/>
  <c r="CC60" i="10" s="1"/>
  <c r="CC59" i="10" s="1"/>
  <c r="CB61" i="10"/>
  <c r="CB60" i="10" s="1"/>
  <c r="CA61" i="10"/>
  <c r="CA60" i="10" s="1"/>
  <c r="CA59" i="10" s="1"/>
  <c r="BZ61" i="10"/>
  <c r="BY61" i="10"/>
  <c r="BY60" i="10" s="1"/>
  <c r="BY59" i="10" s="1"/>
  <c r="BX61" i="10"/>
  <c r="BX60" i="10" s="1"/>
  <c r="BW61" i="10"/>
  <c r="BW60" i="10" s="1"/>
  <c r="BV61" i="10"/>
  <c r="BT61" i="10"/>
  <c r="BR61" i="10"/>
  <c r="BJ61" i="10"/>
  <c r="BJ60" i="10" s="1"/>
  <c r="BJ59" i="10" s="1"/>
  <c r="BI61" i="10"/>
  <c r="BI60" i="10" s="1"/>
  <c r="BH61" i="10"/>
  <c r="BH60" i="10" s="1"/>
  <c r="CD58" i="10"/>
  <c r="CD57" i="10" s="1"/>
  <c r="CD55" i="10" s="1"/>
  <c r="CC58" i="10"/>
  <c r="CC57" i="10" s="1"/>
  <c r="CC55" i="10" s="1"/>
  <c r="CB58" i="10"/>
  <c r="CB57" i="10" s="1"/>
  <c r="CB55" i="10" s="1"/>
  <c r="CA58" i="10"/>
  <c r="BZ58" i="10"/>
  <c r="BZ57" i="10" s="1"/>
  <c r="BZ55" i="10" s="1"/>
  <c r="BY58" i="10"/>
  <c r="BX58" i="10"/>
  <c r="BX57" i="10" s="1"/>
  <c r="BX55" i="10" s="1"/>
  <c r="BW58" i="10"/>
  <c r="BV58" i="10"/>
  <c r="BV57" i="10" s="1"/>
  <c r="BV55" i="10" s="1"/>
  <c r="BP58" i="10"/>
  <c r="BP57" i="10" s="1"/>
  <c r="BP55" i="10" s="1"/>
  <c r="BO58" i="10"/>
  <c r="BO57" i="10" s="1"/>
  <c r="BO55" i="10" s="1"/>
  <c r="BN58" i="10"/>
  <c r="BM58" i="10"/>
  <c r="BM57" i="10" s="1"/>
  <c r="BM55" i="10" s="1"/>
  <c r="BL58" i="10"/>
  <c r="BL57" i="10" s="1"/>
  <c r="BL55" i="10" s="1"/>
  <c r="BK58" i="10"/>
  <c r="BK57" i="10" s="1"/>
  <c r="BK55" i="10" s="1"/>
  <c r="BJ58" i="10"/>
  <c r="BJ57" i="10" s="1"/>
  <c r="BJ55" i="10" s="1"/>
  <c r="BI58" i="10"/>
  <c r="BI57" i="10" s="1"/>
  <c r="BI55" i="10" s="1"/>
  <c r="BH58" i="10"/>
  <c r="BH57" i="10" s="1"/>
  <c r="CP57" i="10"/>
  <c r="CP55" i="10" s="1"/>
  <c r="BG57" i="10"/>
  <c r="BG55" i="10" s="1"/>
  <c r="CM53" i="10"/>
  <c r="CM52" i="10" s="1"/>
  <c r="CL53" i="10"/>
  <c r="CL52" i="10" s="1"/>
  <c r="CK53" i="10"/>
  <c r="CK52" i="10" s="1"/>
  <c r="CJ53" i="10"/>
  <c r="CJ52" i="10" s="1"/>
  <c r="CI53" i="10"/>
  <c r="CI52" i="10" s="1"/>
  <c r="CH53" i="10"/>
  <c r="CH52" i="10" s="1"/>
  <c r="CG53" i="10"/>
  <c r="CG52" i="10" s="1"/>
  <c r="CF53" i="10"/>
  <c r="CF52" i="10" s="1"/>
  <c r="CE53" i="10"/>
  <c r="CE52" i="10" s="1"/>
  <c r="BQ53" i="10"/>
  <c r="CP52" i="10"/>
  <c r="CD52" i="10"/>
  <c r="CC52" i="10"/>
  <c r="CB52" i="10"/>
  <c r="CA52" i="10"/>
  <c r="BZ52" i="10"/>
  <c r="BY52" i="10"/>
  <c r="BX52" i="10"/>
  <c r="BW52" i="10"/>
  <c r="BV52" i="10"/>
  <c r="BP52" i="10"/>
  <c r="BO52" i="10"/>
  <c r="BN52" i="10"/>
  <c r="BM52" i="10"/>
  <c r="BL52" i="10"/>
  <c r="BK52" i="10"/>
  <c r="BJ52" i="10"/>
  <c r="BI52" i="10"/>
  <c r="BH52" i="10"/>
  <c r="BG52" i="10"/>
  <c r="CD51" i="10"/>
  <c r="CM51" i="10" s="1"/>
  <c r="CM50" i="10" s="1"/>
  <c r="CC51" i="10"/>
  <c r="CL51" i="10" s="1"/>
  <c r="CL50" i="10" s="1"/>
  <c r="CB51" i="10"/>
  <c r="CB50" i="10" s="1"/>
  <c r="CA51" i="10"/>
  <c r="CA50" i="10" s="1"/>
  <c r="BZ51" i="10"/>
  <c r="CI51" i="10" s="1"/>
  <c r="CI50" i="10" s="1"/>
  <c r="BY51" i="10"/>
  <c r="CH51" i="10" s="1"/>
  <c r="CH50" i="10" s="1"/>
  <c r="BX51" i="10"/>
  <c r="BX50" i="10" s="1"/>
  <c r="BW51" i="10"/>
  <c r="BV51" i="10"/>
  <c r="CE51" i="10" s="1"/>
  <c r="BQ51" i="10"/>
  <c r="CP50" i="10"/>
  <c r="BZ50" i="10"/>
  <c r="BP50" i="10"/>
  <c r="BO50" i="10"/>
  <c r="BN50" i="10"/>
  <c r="BM50" i="10"/>
  <c r="BL50" i="10"/>
  <c r="BK50" i="10"/>
  <c r="BJ50" i="10"/>
  <c r="BI50" i="10"/>
  <c r="BH50" i="10"/>
  <c r="BG50" i="10"/>
  <c r="CM49" i="10"/>
  <c r="CM48" i="10" s="1"/>
  <c r="CL49" i="10"/>
  <c r="CL48" i="10" s="1"/>
  <c r="CK49" i="10"/>
  <c r="CK48" i="10" s="1"/>
  <c r="CJ49" i="10"/>
  <c r="CJ48" i="10" s="1"/>
  <c r="CI49" i="10"/>
  <c r="CI48" i="10" s="1"/>
  <c r="CH49" i="10"/>
  <c r="CH48" i="10" s="1"/>
  <c r="CG49" i="10"/>
  <c r="CG48" i="10" s="1"/>
  <c r="CF49" i="10"/>
  <c r="CE49" i="10"/>
  <c r="CE48" i="10" s="1"/>
  <c r="BQ49" i="10"/>
  <c r="CP48" i="10"/>
  <c r="CD48" i="10"/>
  <c r="CC48" i="10"/>
  <c r="CB48" i="10"/>
  <c r="CA48" i="10"/>
  <c r="BZ48" i="10"/>
  <c r="BY48" i="10"/>
  <c r="BX48" i="10"/>
  <c r="BW48" i="10"/>
  <c r="BV48" i="10"/>
  <c r="BP48" i="10"/>
  <c r="BO48" i="10"/>
  <c r="BN48" i="10"/>
  <c r="BM48" i="10"/>
  <c r="BL48" i="10"/>
  <c r="BK48" i="10"/>
  <c r="BJ48" i="10"/>
  <c r="BI48" i="10"/>
  <c r="BH48" i="10"/>
  <c r="BG48" i="10"/>
  <c r="CM47" i="10"/>
  <c r="CM46" i="10" s="1"/>
  <c r="CL47" i="10"/>
  <c r="CL46" i="10" s="1"/>
  <c r="CK47" i="10"/>
  <c r="CK46" i="10" s="1"/>
  <c r="CJ47" i="10"/>
  <c r="CJ46" i="10" s="1"/>
  <c r="CI47" i="10"/>
  <c r="CI46" i="10" s="1"/>
  <c r="CG47" i="10"/>
  <c r="CG46" i="10" s="1"/>
  <c r="CF47" i="10"/>
  <c r="CF46" i="10" s="1"/>
  <c r="BY47" i="10"/>
  <c r="BY46" i="10" s="1"/>
  <c r="BV47" i="10"/>
  <c r="BH47" i="10"/>
  <c r="BQ47" i="10" s="1"/>
  <c r="CP46" i="10"/>
  <c r="CD46" i="10"/>
  <c r="CC46" i="10"/>
  <c r="CB46" i="10"/>
  <c r="CA46" i="10"/>
  <c r="BZ46" i="10"/>
  <c r="BX46" i="10"/>
  <c r="BW46" i="10"/>
  <c r="BP46" i="10"/>
  <c r="BO46" i="10"/>
  <c r="BN46" i="10"/>
  <c r="BM46" i="10"/>
  <c r="BL46" i="10"/>
  <c r="BK46" i="10"/>
  <c r="BJ46" i="10"/>
  <c r="BI46" i="10"/>
  <c r="BG46" i="10"/>
  <c r="CD45" i="10"/>
  <c r="CC45" i="10"/>
  <c r="CB45" i="10"/>
  <c r="CA45" i="10"/>
  <c r="BZ45" i="10"/>
  <c r="BY45" i="10"/>
  <c r="BX45" i="10"/>
  <c r="BW45" i="10"/>
  <c r="BV45" i="10"/>
  <c r="BP45" i="10"/>
  <c r="BO45" i="10"/>
  <c r="BN45" i="10"/>
  <c r="BM45" i="10"/>
  <c r="BL45" i="10"/>
  <c r="BK45" i="10"/>
  <c r="BJ45" i="10"/>
  <c r="BI45" i="10"/>
  <c r="BH45" i="10"/>
  <c r="CM44" i="10"/>
  <c r="CL44" i="10"/>
  <c r="CK44" i="10"/>
  <c r="BX44" i="10"/>
  <c r="BW44" i="10"/>
  <c r="BV44" i="10"/>
  <c r="BM44" i="10"/>
  <c r="CJ44" i="10" s="1"/>
  <c r="BL44" i="10"/>
  <c r="CI44" i="10" s="1"/>
  <c r="BK44" i="10"/>
  <c r="CH44" i="10" s="1"/>
  <c r="BJ44" i="10"/>
  <c r="BI44" i="10"/>
  <c r="BH44" i="10"/>
  <c r="CD43" i="10"/>
  <c r="CC43" i="10"/>
  <c r="CB43" i="10"/>
  <c r="CA43" i="10"/>
  <c r="BZ43" i="10"/>
  <c r="BY43" i="10"/>
  <c r="BX43" i="10"/>
  <c r="BW43" i="10"/>
  <c r="BV43" i="10"/>
  <c r="BP43" i="10"/>
  <c r="BO43" i="10"/>
  <c r="BN43" i="10"/>
  <c r="BM43" i="10"/>
  <c r="BL43" i="10"/>
  <c r="BK43" i="10"/>
  <c r="BJ43" i="10"/>
  <c r="BI43" i="10"/>
  <c r="BH43" i="10"/>
  <c r="BG43" i="10"/>
  <c r="CP42" i="10"/>
  <c r="BG42" i="10"/>
  <c r="CP40" i="10"/>
  <c r="CM40" i="10"/>
  <c r="CM39" i="10" s="1"/>
  <c r="CM37" i="10" s="1"/>
  <c r="CL40" i="10"/>
  <c r="CL39" i="10" s="1"/>
  <c r="CL37" i="10" s="1"/>
  <c r="CK40" i="10"/>
  <c r="CK39" i="10" s="1"/>
  <c r="CK37" i="10" s="1"/>
  <c r="CJ40" i="10"/>
  <c r="CJ39" i="10" s="1"/>
  <c r="CJ37" i="10" s="1"/>
  <c r="CI40" i="10"/>
  <c r="CI39" i="10" s="1"/>
  <c r="CI37" i="10" s="1"/>
  <c r="CH40" i="10"/>
  <c r="CH39" i="10" s="1"/>
  <c r="CH37" i="10" s="1"/>
  <c r="CG40" i="10"/>
  <c r="CG39" i="10" s="1"/>
  <c r="CG37" i="10" s="1"/>
  <c r="CF40" i="10"/>
  <c r="CF39" i="10" s="1"/>
  <c r="CF37" i="10" s="1"/>
  <c r="CE40" i="10"/>
  <c r="CE39" i="10" s="1"/>
  <c r="BQ40" i="10"/>
  <c r="BA40" i="10"/>
  <c r="AZ40" i="10"/>
  <c r="AY40" i="10"/>
  <c r="AX40" i="10"/>
  <c r="AW40" i="10"/>
  <c r="AV40" i="10"/>
  <c r="AU40" i="10"/>
  <c r="AT40" i="10"/>
  <c r="AS40" i="10"/>
  <c r="CP39" i="10"/>
  <c r="CP37" i="10" s="1"/>
  <c r="CD39" i="10"/>
  <c r="CD37" i="10" s="1"/>
  <c r="CC39" i="10"/>
  <c r="CC37" i="10" s="1"/>
  <c r="CB39" i="10"/>
  <c r="CB37" i="10" s="1"/>
  <c r="CA39" i="10"/>
  <c r="CA37" i="10" s="1"/>
  <c r="BZ39" i="10"/>
  <c r="BZ37" i="10" s="1"/>
  <c r="BY39" i="10"/>
  <c r="BY37" i="10" s="1"/>
  <c r="BX39" i="10"/>
  <c r="BX37" i="10" s="1"/>
  <c r="BW39" i="10"/>
  <c r="BW37" i="10" s="1"/>
  <c r="BV39" i="10"/>
  <c r="BP39" i="10"/>
  <c r="BP37" i="10" s="1"/>
  <c r="BO39" i="10"/>
  <c r="BO37" i="10" s="1"/>
  <c r="BN39" i="10"/>
  <c r="BN37" i="10" s="1"/>
  <c r="BM39" i="10"/>
  <c r="BM37" i="10" s="1"/>
  <c r="BL39" i="10"/>
  <c r="BL37" i="10" s="1"/>
  <c r="BK39" i="10"/>
  <c r="BK37" i="10" s="1"/>
  <c r="BJ39" i="10"/>
  <c r="BJ37" i="10" s="1"/>
  <c r="BI39" i="10"/>
  <c r="BI37" i="10" s="1"/>
  <c r="BH39" i="10"/>
  <c r="BG39" i="10"/>
  <c r="BG37" i="10" s="1"/>
  <c r="BV37" i="10"/>
  <c r="CN35" i="10"/>
  <c r="CV35" i="10" s="1"/>
  <c r="CM35" i="10"/>
  <c r="CL35" i="10"/>
  <c r="CK35" i="10"/>
  <c r="CJ35" i="10"/>
  <c r="CI35" i="10"/>
  <c r="CH35" i="10"/>
  <c r="CG35" i="10"/>
  <c r="CF35" i="10"/>
  <c r="CE35" i="10"/>
  <c r="CM34" i="10"/>
  <c r="CL34" i="10"/>
  <c r="CK34" i="10"/>
  <c r="CJ34" i="10"/>
  <c r="CI34" i="10"/>
  <c r="CH34" i="10"/>
  <c r="CG34" i="10"/>
  <c r="CF34" i="10"/>
  <c r="CE34" i="10"/>
  <c r="BQ34" i="10"/>
  <c r="CM33" i="10"/>
  <c r="CL33" i="10"/>
  <c r="CK33" i="10"/>
  <c r="CJ33" i="10"/>
  <c r="CI33" i="10"/>
  <c r="CH33" i="10"/>
  <c r="CG33" i="10"/>
  <c r="CF33" i="10"/>
  <c r="CE33" i="10"/>
  <c r="BQ33" i="10"/>
  <c r="BG33" i="10"/>
  <c r="BG32" i="10" s="1"/>
  <c r="CP32" i="10"/>
  <c r="CD32" i="10"/>
  <c r="CC32" i="10"/>
  <c r="CB32" i="10"/>
  <c r="CA32" i="10"/>
  <c r="BZ32" i="10"/>
  <c r="BY32" i="10"/>
  <c r="BX32" i="10"/>
  <c r="BW32" i="10"/>
  <c r="BV32" i="10"/>
  <c r="BP32" i="10"/>
  <c r="BO32" i="10"/>
  <c r="BN32" i="10"/>
  <c r="BM32" i="10"/>
  <c r="BL32" i="10"/>
  <c r="BK32" i="10"/>
  <c r="BJ32" i="10"/>
  <c r="BI32" i="10"/>
  <c r="BH32" i="10"/>
  <c r="CV31" i="10"/>
  <c r="CV30" i="10" s="1"/>
  <c r="BQ31" i="10"/>
  <c r="CP30" i="10"/>
  <c r="CM30" i="10"/>
  <c r="CL30" i="10"/>
  <c r="CK30" i="10"/>
  <c r="CJ30" i="10"/>
  <c r="CI30" i="10"/>
  <c r="CH30" i="10"/>
  <c r="CG30" i="10"/>
  <c r="CF30" i="10"/>
  <c r="CE30" i="10"/>
  <c r="CD30" i="10"/>
  <c r="CC30" i="10"/>
  <c r="CB30" i="10"/>
  <c r="CA30" i="10"/>
  <c r="BZ30" i="10"/>
  <c r="BY30" i="10"/>
  <c r="BX30" i="10"/>
  <c r="BW30" i="10"/>
  <c r="BV30" i="10"/>
  <c r="BP30" i="10"/>
  <c r="BO30" i="10"/>
  <c r="BN30" i="10"/>
  <c r="BM30" i="10"/>
  <c r="BL30" i="10"/>
  <c r="BK30" i="10"/>
  <c r="BJ30" i="10"/>
  <c r="BI30" i="10"/>
  <c r="BH30" i="10"/>
  <c r="BG30" i="10"/>
  <c r="CM29" i="10"/>
  <c r="CL29" i="10"/>
  <c r="CK29" i="10"/>
  <c r="CJ29" i="10"/>
  <c r="CI29" i="10"/>
  <c r="CH29" i="10"/>
  <c r="CG29" i="10"/>
  <c r="CF29" i="10"/>
  <c r="CE29" i="10"/>
  <c r="BQ29" i="10"/>
  <c r="BG29" i="10"/>
  <c r="BG26" i="10" s="1"/>
  <c r="CP28" i="10"/>
  <c r="CP26" i="10" s="1"/>
  <c r="CD28" i="10"/>
  <c r="CC28" i="10"/>
  <c r="CB28" i="10"/>
  <c r="CA28" i="10"/>
  <c r="BZ28" i="10"/>
  <c r="BY28" i="10"/>
  <c r="BX28" i="10"/>
  <c r="BW28" i="10"/>
  <c r="BV28" i="10"/>
  <c r="BP28" i="10"/>
  <c r="BO28" i="10"/>
  <c r="BO26" i="10" s="1"/>
  <c r="BN28" i="10"/>
  <c r="BN26" i="10" s="1"/>
  <c r="BM28" i="10"/>
  <c r="BL28" i="10"/>
  <c r="BK28" i="10"/>
  <c r="BK26" i="10" s="1"/>
  <c r="BJ28" i="10"/>
  <c r="BJ26" i="10" s="1"/>
  <c r="BI28" i="10"/>
  <c r="BI26" i="10" s="1"/>
  <c r="BH28" i="10"/>
  <c r="CD27" i="10"/>
  <c r="CC27" i="10"/>
  <c r="CL27" i="10" s="1"/>
  <c r="CB27" i="10"/>
  <c r="CK27" i="10" s="1"/>
  <c r="CA27" i="10"/>
  <c r="BZ27" i="10"/>
  <c r="BY27" i="10"/>
  <c r="CH27" i="10" s="1"/>
  <c r="BX27" i="10"/>
  <c r="BW27" i="10"/>
  <c r="BV27" i="10"/>
  <c r="BQ27" i="10"/>
  <c r="BM26" i="10"/>
  <c r="CD24" i="10"/>
  <c r="CC24" i="10"/>
  <c r="CB24" i="10"/>
  <c r="CA24" i="10"/>
  <c r="BZ24" i="10"/>
  <c r="BY24" i="10"/>
  <c r="BX24" i="10"/>
  <c r="BW24" i="10"/>
  <c r="BV24" i="10"/>
  <c r="BP24" i="10"/>
  <c r="BP23" i="10" s="1"/>
  <c r="BO24" i="10"/>
  <c r="BO23" i="10" s="1"/>
  <c r="BN24" i="10"/>
  <c r="BN23" i="10" s="1"/>
  <c r="BM24" i="10"/>
  <c r="BM23" i="10" s="1"/>
  <c r="BL24" i="10"/>
  <c r="BL23" i="10" s="1"/>
  <c r="BK24" i="10"/>
  <c r="BK23" i="10" s="1"/>
  <c r="BJ24" i="10"/>
  <c r="BJ23" i="10" s="1"/>
  <c r="BI24" i="10"/>
  <c r="BH24" i="10"/>
  <c r="AT24" i="10"/>
  <c r="AU24" i="10" s="1"/>
  <c r="AV24" i="10" s="1"/>
  <c r="AW24" i="10" s="1"/>
  <c r="AX24" i="10" s="1"/>
  <c r="AY24" i="10" s="1"/>
  <c r="AZ24" i="10" s="1"/>
  <c r="BA24" i="10" s="1"/>
  <c r="AK24" i="10"/>
  <c r="AL24" i="10" s="1"/>
  <c r="AM24" i="10" s="1"/>
  <c r="AN24" i="10" s="1"/>
  <c r="AO24" i="10" s="1"/>
  <c r="AP24" i="10" s="1"/>
  <c r="AQ24" i="10" s="1"/>
  <c r="AR24" i="10" s="1"/>
  <c r="CP23" i="10"/>
  <c r="CC23" i="10"/>
  <c r="CA23" i="10"/>
  <c r="BW23" i="10"/>
  <c r="BI23" i="10"/>
  <c r="BG23" i="10"/>
  <c r="CM22" i="10"/>
  <c r="CM21" i="10" s="1"/>
  <c r="CL22" i="10"/>
  <c r="CL21" i="10" s="1"/>
  <c r="CK22" i="10"/>
  <c r="CK21" i="10" s="1"/>
  <c r="CJ22" i="10"/>
  <c r="CI22" i="10"/>
  <c r="CI21" i="10" s="1"/>
  <c r="CH22" i="10"/>
  <c r="CH21" i="10" s="1"/>
  <c r="CG22" i="10"/>
  <c r="CG21" i="10" s="1"/>
  <c r="CF22" i="10"/>
  <c r="CF21" i="10" s="1"/>
  <c r="BV22" i="10"/>
  <c r="CE22" i="10" s="1"/>
  <c r="CV22" i="10" s="1"/>
  <c r="CV21" i="10" s="1"/>
  <c r="BQ22" i="10"/>
  <c r="CP21" i="10"/>
  <c r="CJ21" i="10"/>
  <c r="CD21" i="10"/>
  <c r="CC21" i="10"/>
  <c r="CB21" i="10"/>
  <c r="CA21" i="10"/>
  <c r="BZ21" i="10"/>
  <c r="BY21" i="10"/>
  <c r="BX21" i="10"/>
  <c r="BW21" i="10"/>
  <c r="BP21" i="10"/>
  <c r="BO21" i="10"/>
  <c r="BN21" i="10"/>
  <c r="BM21" i="10"/>
  <c r="BL21" i="10"/>
  <c r="BK21" i="10"/>
  <c r="BJ21" i="10"/>
  <c r="BI21" i="10"/>
  <c r="BH21" i="10"/>
  <c r="BG21" i="10"/>
  <c r="CM20" i="10"/>
  <c r="CM19" i="10" s="1"/>
  <c r="CL20" i="10"/>
  <c r="CL19" i="10" s="1"/>
  <c r="CK20" i="10"/>
  <c r="CK19" i="10" s="1"/>
  <c r="CJ20" i="10"/>
  <c r="CJ19" i="10" s="1"/>
  <c r="CI20" i="10"/>
  <c r="CI19" i="10" s="1"/>
  <c r="BY20" i="10"/>
  <c r="BY19" i="10" s="1"/>
  <c r="BX20" i="10"/>
  <c r="CG20" i="10" s="1"/>
  <c r="CG19" i="10" s="1"/>
  <c r="BW20" i="10"/>
  <c r="CF20" i="10" s="1"/>
  <c r="CF19" i="10" s="1"/>
  <c r="BV20" i="10"/>
  <c r="CE20" i="10" s="1"/>
  <c r="BQ20" i="10"/>
  <c r="CP19" i="10"/>
  <c r="CD19" i="10"/>
  <c r="CC19" i="10"/>
  <c r="CB19" i="10"/>
  <c r="CA19" i="10"/>
  <c r="BZ19" i="10"/>
  <c r="BP19" i="10"/>
  <c r="BO19" i="10"/>
  <c r="BN19" i="10"/>
  <c r="BM19" i="10"/>
  <c r="BL19" i="10"/>
  <c r="BK19" i="10"/>
  <c r="BJ19" i="10"/>
  <c r="BI19" i="10"/>
  <c r="BH19" i="10"/>
  <c r="BG19" i="10"/>
  <c r="BV18" i="10"/>
  <c r="BG18" i="10"/>
  <c r="BH18" i="10" s="1"/>
  <c r="AT18" i="10"/>
  <c r="AU18" i="10" s="1"/>
  <c r="AV18" i="10" s="1"/>
  <c r="AW18" i="10" s="1"/>
  <c r="AX18" i="10" s="1"/>
  <c r="AY18" i="10" s="1"/>
  <c r="AZ18" i="10" s="1"/>
  <c r="BA18" i="10" s="1"/>
  <c r="CL17" i="10"/>
  <c r="CK17" i="10"/>
  <c r="CJ17" i="10"/>
  <c r="CI17" i="10"/>
  <c r="CH17" i="10"/>
  <c r="CG17" i="10"/>
  <c r="CD17" i="10"/>
  <c r="BW17" i="10"/>
  <c r="BV17" i="10"/>
  <c r="BQ17" i="10"/>
  <c r="BG16" i="10"/>
  <c r="BV15" i="10"/>
  <c r="CE15" i="10" s="1"/>
  <c r="BQ15" i="10"/>
  <c r="BV14" i="10"/>
  <c r="BV13" i="10" s="1"/>
  <c r="BH14" i="10"/>
  <c r="BG13" i="10"/>
  <c r="CM12" i="10"/>
  <c r="CM11" i="10" s="1"/>
  <c r="CL12" i="10"/>
  <c r="CL11" i="10" s="1"/>
  <c r="CK12" i="10"/>
  <c r="CK11" i="10" s="1"/>
  <c r="CJ12" i="10"/>
  <c r="CJ11" i="10" s="1"/>
  <c r="CI12" i="10"/>
  <c r="CI11" i="10" s="1"/>
  <c r="CH12" i="10"/>
  <c r="CH11" i="10" s="1"/>
  <c r="CG12" i="10"/>
  <c r="CG11" i="10" s="1"/>
  <c r="BW12" i="10"/>
  <c r="BW11" i="10" s="1"/>
  <c r="BV12" i="10"/>
  <c r="BV11" i="10" s="1"/>
  <c r="CP11" i="10"/>
  <c r="CD11" i="10"/>
  <c r="CC11" i="10"/>
  <c r="CB11" i="10"/>
  <c r="CA11" i="10"/>
  <c r="BZ11" i="10"/>
  <c r="BY11" i="10"/>
  <c r="BX11" i="10"/>
  <c r="BP11" i="10"/>
  <c r="BO11" i="10"/>
  <c r="BN11" i="10"/>
  <c r="BM11" i="10"/>
  <c r="BL11" i="10"/>
  <c r="BK11" i="10"/>
  <c r="BJ11" i="10"/>
  <c r="BI11" i="10"/>
  <c r="BH11" i="10"/>
  <c r="BG11" i="10"/>
  <c r="CN10" i="10"/>
  <c r="CV10" i="10" s="1"/>
  <c r="BV9" i="10"/>
  <c r="CE9" i="10" s="1"/>
  <c r="BI9" i="10"/>
  <c r="BJ9" i="10" s="1"/>
  <c r="BK9" i="10" s="1"/>
  <c r="BA9" i="10"/>
  <c r="AZ9" i="10"/>
  <c r="AY9" i="10"/>
  <c r="AX9" i="10"/>
  <c r="AW9" i="10"/>
  <c r="AV9" i="10"/>
  <c r="AU9" i="10"/>
  <c r="AT9" i="10"/>
  <c r="AS9" i="10"/>
  <c r="CD8" i="10"/>
  <c r="CC8" i="10"/>
  <c r="CB8" i="10"/>
  <c r="CA8" i="10"/>
  <c r="BZ8" i="10"/>
  <c r="BY8" i="10"/>
  <c r="BX8" i="10"/>
  <c r="BW8" i="10"/>
  <c r="BV8" i="10"/>
  <c r="BP8" i="10"/>
  <c r="BO8" i="10"/>
  <c r="BN8" i="10"/>
  <c r="BM8" i="10"/>
  <c r="BL8" i="10"/>
  <c r="BK8" i="10"/>
  <c r="BJ8" i="10"/>
  <c r="BI8" i="10"/>
  <c r="BH8" i="10"/>
  <c r="BH5" i="10" s="1"/>
  <c r="AS7" i="10"/>
  <c r="AJ7" i="10"/>
  <c r="CM6" i="10"/>
  <c r="CL6" i="10"/>
  <c r="CK6" i="10"/>
  <c r="CJ6" i="10"/>
  <c r="CI6" i="10"/>
  <c r="CH6" i="10"/>
  <c r="CG6" i="10"/>
  <c r="CF6" i="10"/>
  <c r="CE6" i="10"/>
  <c r="BQ6" i="10"/>
  <c r="AJ6" i="10"/>
  <c r="CP5" i="10"/>
  <c r="BG5" i="10"/>
  <c r="BI59" i="10" l="1"/>
  <c r="BI54" i="10" s="1"/>
  <c r="CE61" i="10"/>
  <c r="CE60" i="10" s="1"/>
  <c r="BV60" i="10"/>
  <c r="CI61" i="10"/>
  <c r="CI60" i="10" s="1"/>
  <c r="CI59" i="10" s="1"/>
  <c r="BZ60" i="10"/>
  <c r="CM61" i="10"/>
  <c r="CM60" i="10" s="1"/>
  <c r="CD60" i="10"/>
  <c r="CC87" i="10"/>
  <c r="BQ60" i="10"/>
  <c r="BZ42" i="10"/>
  <c r="BW59" i="10"/>
  <c r="CE44" i="10"/>
  <c r="BV82" i="10"/>
  <c r="BX87" i="10"/>
  <c r="CE17" i="10"/>
  <c r="BV16" i="10"/>
  <c r="BV79" i="10"/>
  <c r="BV78" i="10" s="1"/>
  <c r="CF17" i="10"/>
  <c r="BH46" i="10"/>
  <c r="CE47" i="10"/>
  <c r="CE46" i="10" s="1"/>
  <c r="BQ61" i="10"/>
  <c r="CC76" i="10"/>
  <c r="BX82" i="10"/>
  <c r="CA87" i="10"/>
  <c r="CK79" i="10"/>
  <c r="BI14" i="10"/>
  <c r="BI13" i="10" s="1"/>
  <c r="BH13" i="10"/>
  <c r="BI18" i="10"/>
  <c r="BH16" i="10"/>
  <c r="CJ24" i="10"/>
  <c r="CJ23" i="10" s="1"/>
  <c r="BV46" i="10"/>
  <c r="BY82" i="10"/>
  <c r="CE14" i="10"/>
  <c r="CE13" i="10" s="1"/>
  <c r="BV42" i="10"/>
  <c r="BM70" i="10"/>
  <c r="CL71" i="10"/>
  <c r="CK82" i="10"/>
  <c r="BQ85" i="10"/>
  <c r="CF64" i="10"/>
  <c r="CF63" i="10" s="1"/>
  <c r="BV26" i="10"/>
  <c r="BV25" i="10" s="1"/>
  <c r="BZ26" i="10"/>
  <c r="BZ25" i="10" s="1"/>
  <c r="CD26" i="10"/>
  <c r="BV21" i="10"/>
  <c r="CH24" i="10"/>
  <c r="CH23" i="10" s="1"/>
  <c r="CL24" i="10"/>
  <c r="CL23" i="10" s="1"/>
  <c r="BH42" i="10"/>
  <c r="BH41" i="10" s="1"/>
  <c r="BL42" i="10"/>
  <c r="BP42" i="10"/>
  <c r="BP41" i="10" s="1"/>
  <c r="BP36" i="10" s="1"/>
  <c r="CH43" i="10"/>
  <c r="CL43" i="10"/>
  <c r="CE45" i="10"/>
  <c r="CI45" i="10"/>
  <c r="BV50" i="10"/>
  <c r="CG75" i="10"/>
  <c r="CG74" i="10" s="1"/>
  <c r="CB78" i="10"/>
  <c r="CJ79" i="10"/>
  <c r="CJ78" i="10" s="1"/>
  <c r="BY87" i="10"/>
  <c r="CG61" i="10"/>
  <c r="CG60" i="10" s="1"/>
  <c r="CK61" i="10"/>
  <c r="CK60" i="10" s="1"/>
  <c r="BQ82" i="10"/>
  <c r="CL87" i="10"/>
  <c r="BV95" i="10"/>
  <c r="CF24" i="10"/>
  <c r="CF23" i="10" s="1"/>
  <c r="BO25" i="10"/>
  <c r="CF43" i="10"/>
  <c r="CJ43" i="10"/>
  <c r="CD50" i="10"/>
  <c r="BG54" i="10"/>
  <c r="BO54" i="10"/>
  <c r="CF73" i="10"/>
  <c r="CJ73" i="10"/>
  <c r="BX76" i="10"/>
  <c r="CL79" i="10"/>
  <c r="CL78" i="10" s="1"/>
  <c r="CK78" i="10"/>
  <c r="CG8" i="10"/>
  <c r="CK8" i="10"/>
  <c r="CF12" i="10"/>
  <c r="CF11" i="10" s="1"/>
  <c r="BK25" i="10"/>
  <c r="CG28" i="10"/>
  <c r="CK28" i="10"/>
  <c r="CK26" i="10" s="1"/>
  <c r="BG25" i="10"/>
  <c r="CF32" i="10"/>
  <c r="CJ32" i="10"/>
  <c r="CF71" i="10"/>
  <c r="BH70" i="10"/>
  <c r="BL70" i="10"/>
  <c r="BP70" i="10"/>
  <c r="BW79" i="10"/>
  <c r="CF79" i="10" s="1"/>
  <c r="CD82" i="10"/>
  <c r="CP82" i="10"/>
  <c r="CH87" i="10"/>
  <c r="CF87" i="10"/>
  <c r="CJ87" i="10"/>
  <c r="BV91" i="10"/>
  <c r="BQ97" i="10"/>
  <c r="BY23" i="10"/>
  <c r="BI25" i="10"/>
  <c r="BQ39" i="10"/>
  <c r="CM45" i="10"/>
  <c r="CF75" i="10"/>
  <c r="CF74" i="10" s="1"/>
  <c r="BY76" i="10"/>
  <c r="CA78" i="10"/>
  <c r="CG82" i="10"/>
  <c r="BX95" i="10"/>
  <c r="CH79" i="10"/>
  <c r="CH78" i="10" s="1"/>
  <c r="CE91" i="10"/>
  <c r="CH8" i="10"/>
  <c r="CG43" i="10"/>
  <c r="CK43" i="10"/>
  <c r="BN42" i="10"/>
  <c r="BN41" i="10" s="1"/>
  <c r="BN36" i="10" s="1"/>
  <c r="BG65" i="10"/>
  <c r="CK73" i="10"/>
  <c r="BZ82" i="10"/>
  <c r="CH82" i="10"/>
  <c r="BQ95" i="10"/>
  <c r="CN97" i="10"/>
  <c r="BV19" i="10"/>
  <c r="CL8" i="10"/>
  <c r="BW9" i="10"/>
  <c r="CF9" i="10" s="1"/>
  <c r="CB26" i="10"/>
  <c r="CB25" i="10" s="1"/>
  <c r="CE28" i="10"/>
  <c r="CI28" i="10"/>
  <c r="CM28" i="10"/>
  <c r="CH28" i="10"/>
  <c r="CH26" i="10" s="1"/>
  <c r="CL28" i="10"/>
  <c r="CL26" i="10" s="1"/>
  <c r="CH32" i="10"/>
  <c r="CL32" i="10"/>
  <c r="CD42" i="10"/>
  <c r="BK42" i="10"/>
  <c r="BK41" i="10" s="1"/>
  <c r="BK36" i="10" s="1"/>
  <c r="BO42" i="10"/>
  <c r="BO41" i="10" s="1"/>
  <c r="BO36" i="10" s="1"/>
  <c r="BX42" i="10"/>
  <c r="BX41" i="10" s="1"/>
  <c r="BX36" i="10" s="1"/>
  <c r="CK45" i="10"/>
  <c r="CH58" i="10"/>
  <c r="CH57" i="10" s="1"/>
  <c r="CH55" i="10" s="1"/>
  <c r="CL58" i="10"/>
  <c r="CL57" i="10" s="1"/>
  <c r="CL55" i="10" s="1"/>
  <c r="CN62" i="10"/>
  <c r="CV62" i="10" s="1"/>
  <c r="CH64" i="10"/>
  <c r="CH63" i="10" s="1"/>
  <c r="CL64" i="10"/>
  <c r="CL63" i="10" s="1"/>
  <c r="CN6" i="10"/>
  <c r="CV6" i="10" s="1"/>
  <c r="BQ11" i="10"/>
  <c r="CP25" i="10"/>
  <c r="BX26" i="10"/>
  <c r="BX25" i="10" s="1"/>
  <c r="CG73" i="10"/>
  <c r="BQ74" i="10"/>
  <c r="CN81" i="10"/>
  <c r="CV81" i="10" s="1"/>
  <c r="BV5" i="10"/>
  <c r="CF28" i="10"/>
  <c r="CJ28" i="10"/>
  <c r="BM25" i="10"/>
  <c r="BY50" i="10"/>
  <c r="CG58" i="10"/>
  <c r="CG57" i="10" s="1"/>
  <c r="CG55" i="10" s="1"/>
  <c r="CK58" i="10"/>
  <c r="CK57" i="10" s="1"/>
  <c r="CK55" i="10" s="1"/>
  <c r="BK54" i="10"/>
  <c r="CN72" i="10"/>
  <c r="CV72" i="10" s="1"/>
  <c r="CE73" i="10"/>
  <c r="CI73" i="10"/>
  <c r="CM73" i="10"/>
  <c r="BK70" i="10"/>
  <c r="BO70" i="10"/>
  <c r="BQ76" i="10"/>
  <c r="BQ58" i="10"/>
  <c r="CE58" i="10"/>
  <c r="CE57" i="10" s="1"/>
  <c r="CM58" i="10"/>
  <c r="CM57" i="10" s="1"/>
  <c r="CM55" i="10" s="1"/>
  <c r="BW63" i="10"/>
  <c r="CP54" i="10"/>
  <c r="BL41" i="10"/>
  <c r="BL36" i="10" s="1"/>
  <c r="CN49" i="10"/>
  <c r="CV49" i="10" s="1"/>
  <c r="CV48" i="10" s="1"/>
  <c r="BY57" i="10"/>
  <c r="BY55" i="10" s="1"/>
  <c r="CJ64" i="10"/>
  <c r="CJ63" i="10" s="1"/>
  <c r="BL54" i="10"/>
  <c r="BP54" i="10"/>
  <c r="BM54" i="10"/>
  <c r="BW42" i="10"/>
  <c r="BZ41" i="10"/>
  <c r="BZ36" i="10" s="1"/>
  <c r="BG41" i="10"/>
  <c r="BG36" i="10" s="1"/>
  <c r="CF48" i="10"/>
  <c r="CN48" i="10" s="1"/>
  <c r="CP41" i="10"/>
  <c r="CP36" i="10" s="1"/>
  <c r="CG51" i="10"/>
  <c r="CG50" i="10" s="1"/>
  <c r="BQ45" i="10"/>
  <c r="BQ50" i="10"/>
  <c r="CG45" i="10"/>
  <c r="BH37" i="10"/>
  <c r="BQ37" i="10" s="1"/>
  <c r="BI42" i="10"/>
  <c r="BI41" i="10" s="1"/>
  <c r="BI36" i="10" s="1"/>
  <c r="CG27" i="10"/>
  <c r="CG26" i="10" s="1"/>
  <c r="BH26" i="10"/>
  <c r="BL26" i="10"/>
  <c r="BL25" i="10" s="1"/>
  <c r="BP26" i="10"/>
  <c r="BP25" i="10" s="1"/>
  <c r="CC26" i="10"/>
  <c r="CC25" i="10" s="1"/>
  <c r="CI27" i="10"/>
  <c r="BQ28" i="10"/>
  <c r="CN34" i="10"/>
  <c r="CV34" i="10" s="1"/>
  <c r="CD25" i="10"/>
  <c r="CN29" i="10"/>
  <c r="CV29" i="10" s="1"/>
  <c r="BJ25" i="10"/>
  <c r="BN25" i="10"/>
  <c r="CE32" i="10"/>
  <c r="CI32" i="10"/>
  <c r="CM32" i="10"/>
  <c r="BY26" i="10"/>
  <c r="BY25" i="10" s="1"/>
  <c r="CE27" i="10"/>
  <c r="CM27" i="10"/>
  <c r="CM26" i="10" s="1"/>
  <c r="CN30" i="10"/>
  <c r="CG32" i="10"/>
  <c r="CK32" i="10"/>
  <c r="BL9" i="10"/>
  <c r="BK5" i="10"/>
  <c r="CM17" i="10"/>
  <c r="BG4" i="10"/>
  <c r="BW14" i="10"/>
  <c r="CE18" i="10"/>
  <c r="BW19" i="10"/>
  <c r="CP4" i="10"/>
  <c r="BX9" i="10"/>
  <c r="CG9" i="10" s="1"/>
  <c r="CG5" i="10" s="1"/>
  <c r="BQ21" i="10"/>
  <c r="BQ8" i="10"/>
  <c r="CJ8" i="10"/>
  <c r="BX19" i="10"/>
  <c r="CE19" i="10"/>
  <c r="BW26" i="10"/>
  <c r="BW25" i="10" s="1"/>
  <c r="CF27" i="10"/>
  <c r="CA26" i="10"/>
  <c r="CA25" i="10" s="1"/>
  <c r="CJ27" i="10"/>
  <c r="CH45" i="10"/>
  <c r="BY42" i="10"/>
  <c r="BY41" i="10" s="1"/>
  <c r="BY36" i="10" s="1"/>
  <c r="CL45" i="10"/>
  <c r="CC42" i="10"/>
  <c r="CN52" i="10"/>
  <c r="CN53" i="10"/>
  <c r="CV53" i="10" s="1"/>
  <c r="CV52" i="10" s="1"/>
  <c r="BH55" i="10"/>
  <c r="BV67" i="10"/>
  <c r="BI67" i="10"/>
  <c r="BH66" i="10"/>
  <c r="BX70" i="10"/>
  <c r="CG71" i="10"/>
  <c r="CK71" i="10"/>
  <c r="CB70" i="10"/>
  <c r="CH71" i="10"/>
  <c r="BY70" i="10"/>
  <c r="BI5" i="10"/>
  <c r="CE8" i="10"/>
  <c r="CI8" i="10"/>
  <c r="CM8" i="10"/>
  <c r="BW15" i="10"/>
  <c r="BW18" i="10"/>
  <c r="BW16" i="10" s="1"/>
  <c r="BQ19" i="10"/>
  <c r="CE21" i="10"/>
  <c r="CN21" i="10" s="1"/>
  <c r="CN22" i="10"/>
  <c r="CG24" i="10"/>
  <c r="CG23" i="10" s="1"/>
  <c r="BX23" i="10"/>
  <c r="CK24" i="10"/>
  <c r="CK23" i="10" s="1"/>
  <c r="CB23" i="10"/>
  <c r="CB42" i="10"/>
  <c r="CB41" i="10" s="1"/>
  <c r="CB36" i="10" s="1"/>
  <c r="CE43" i="10"/>
  <c r="CI43" i="10"/>
  <c r="CM43" i="10"/>
  <c r="CG44" i="10"/>
  <c r="BJ42" i="10"/>
  <c r="BJ41" i="10" s="1"/>
  <c r="BJ36" i="10" s="1"/>
  <c r="BQ44" i="10"/>
  <c r="BQ46" i="10"/>
  <c r="BJ54" i="10"/>
  <c r="BJ5" i="10"/>
  <c r="CF8" i="10"/>
  <c r="CF5" i="10" s="1"/>
  <c r="CE12" i="10"/>
  <c r="BQ24" i="10"/>
  <c r="BH23" i="10"/>
  <c r="BQ30" i="10"/>
  <c r="BQ32" i="10"/>
  <c r="CN39" i="10"/>
  <c r="CE37" i="10"/>
  <c r="CF45" i="10"/>
  <c r="CJ45" i="10"/>
  <c r="CH47" i="10"/>
  <c r="CH46" i="10" s="1"/>
  <c r="BQ48" i="10"/>
  <c r="CJ51" i="10"/>
  <c r="CJ50" i="10" s="1"/>
  <c r="BQ52" i="10"/>
  <c r="CN89" i="10"/>
  <c r="CV89" i="10" s="1"/>
  <c r="CH20" i="10"/>
  <c r="CH19" i="10" s="1"/>
  <c r="CE24" i="10"/>
  <c r="BV23" i="10"/>
  <c r="CI24" i="10"/>
  <c r="CI23" i="10" s="1"/>
  <c r="BZ23" i="10"/>
  <c r="CM24" i="10"/>
  <c r="CM23" i="10" s="1"/>
  <c r="CD23" i="10"/>
  <c r="CN33" i="10"/>
  <c r="CV33" i="10" s="1"/>
  <c r="CN40" i="10"/>
  <c r="CV40" i="10" s="1"/>
  <c r="CV39" i="10" s="1"/>
  <c r="CV37" i="10" s="1"/>
  <c r="BQ43" i="10"/>
  <c r="BW50" i="10"/>
  <c r="CF51" i="10"/>
  <c r="CF50" i="10" s="1"/>
  <c r="CE50" i="10"/>
  <c r="CF61" i="10"/>
  <c r="CF60" i="10" s="1"/>
  <c r="CF59" i="10" s="1"/>
  <c r="CJ61" i="10"/>
  <c r="CJ60" i="10" s="1"/>
  <c r="BM42" i="10"/>
  <c r="BM41" i="10" s="1"/>
  <c r="BM36" i="10" s="1"/>
  <c r="CF44" i="10"/>
  <c r="CK51" i="10"/>
  <c r="CK50" i="10" s="1"/>
  <c r="BN57" i="10"/>
  <c r="BN55" i="10" s="1"/>
  <c r="BN54" i="10" s="1"/>
  <c r="CG64" i="10"/>
  <c r="CG63" i="10" s="1"/>
  <c r="CK64" i="10"/>
  <c r="CK63" i="10" s="1"/>
  <c r="CN69" i="10"/>
  <c r="CV69" i="10" s="1"/>
  <c r="BQ79" i="10"/>
  <c r="BH78" i="10"/>
  <c r="BQ78" i="10" s="1"/>
  <c r="BZ95" i="10"/>
  <c r="CI96" i="10"/>
  <c r="CI95" i="10" s="1"/>
  <c r="CN95" i="10" s="1"/>
  <c r="CI58" i="10"/>
  <c r="CI57" i="10" s="1"/>
  <c r="CI55" i="10" s="1"/>
  <c r="CH61" i="10"/>
  <c r="CH60" i="10" s="1"/>
  <c r="CL61" i="10"/>
  <c r="CL60" i="10" s="1"/>
  <c r="CL59" i="10" s="1"/>
  <c r="CC54" i="10"/>
  <c r="BQ64" i="10"/>
  <c r="CE71" i="10"/>
  <c r="BV70" i="10"/>
  <c r="CI71" i="10"/>
  <c r="BZ70" i="10"/>
  <c r="CM71" i="10"/>
  <c r="CD70" i="10"/>
  <c r="CE85" i="10"/>
  <c r="CN85" i="10" s="1"/>
  <c r="CN86" i="10"/>
  <c r="CV86" i="10" s="1"/>
  <c r="CV85" i="10" s="1"/>
  <c r="CA42" i="10"/>
  <c r="CA41" i="10" s="1"/>
  <c r="CA36" i="10" s="1"/>
  <c r="CC50" i="10"/>
  <c r="CF58" i="10"/>
  <c r="CF57" i="10" s="1"/>
  <c r="CF55" i="10" s="1"/>
  <c r="BW57" i="10"/>
  <c r="BW55" i="10" s="1"/>
  <c r="CJ58" i="10"/>
  <c r="CJ57" i="10" s="1"/>
  <c r="CJ55" i="10" s="1"/>
  <c r="CA57" i="10"/>
  <c r="CA55" i="10" s="1"/>
  <c r="CE64" i="10"/>
  <c r="BV63" i="10"/>
  <c r="CI64" i="10"/>
  <c r="CI63" i="10" s="1"/>
  <c r="BZ63" i="10"/>
  <c r="CM64" i="10"/>
  <c r="CM63" i="10" s="1"/>
  <c r="CD63" i="10"/>
  <c r="CE68" i="10"/>
  <c r="BW68" i="10"/>
  <c r="CL84" i="10"/>
  <c r="CL82" i="10" s="1"/>
  <c r="CC82" i="10"/>
  <c r="CC70" i="10"/>
  <c r="BW70" i="10"/>
  <c r="CA70" i="10"/>
  <c r="CJ71" i="10"/>
  <c r="CJ70" i="10" s="1"/>
  <c r="BQ73" i="10"/>
  <c r="CE75" i="10"/>
  <c r="BV74" i="10"/>
  <c r="CG87" i="10"/>
  <c r="CK87" i="10"/>
  <c r="BV87" i="10"/>
  <c r="CE90" i="10"/>
  <c r="CE87" i="10" s="1"/>
  <c r="BZ87" i="10"/>
  <c r="CI90" i="10"/>
  <c r="CI87" i="10" s="1"/>
  <c r="CD87" i="10"/>
  <c r="CM90" i="10"/>
  <c r="CM87" i="10" s="1"/>
  <c r="BQ91" i="10"/>
  <c r="CH92" i="10"/>
  <c r="CL92" i="10"/>
  <c r="BQ71" i="10"/>
  <c r="BZ78" i="10"/>
  <c r="CI79" i="10"/>
  <c r="CI78" i="10" s="1"/>
  <c r="CD78" i="10"/>
  <c r="CM79" i="10"/>
  <c r="CM78" i="10" s="1"/>
  <c r="CG79" i="10"/>
  <c r="CG78" i="10" s="1"/>
  <c r="BX78" i="10"/>
  <c r="BW82" i="10"/>
  <c r="CF83" i="10"/>
  <c r="CF82" i="10" s="1"/>
  <c r="CA82" i="10"/>
  <c r="CJ83" i="10"/>
  <c r="CJ82" i="10" s="1"/>
  <c r="CE82" i="10"/>
  <c r="CN96" i="10"/>
  <c r="CV96" i="10" s="1"/>
  <c r="CV95" i="10" s="1"/>
  <c r="BH63" i="10"/>
  <c r="BH59" i="10" s="1"/>
  <c r="BX63" i="10"/>
  <c r="CB63" i="10"/>
  <c r="BI68" i="10"/>
  <c r="BJ68" i="10" s="1"/>
  <c r="BK68" i="10" s="1"/>
  <c r="BL68" i="10" s="1"/>
  <c r="BM68" i="10" s="1"/>
  <c r="BN68" i="10" s="1"/>
  <c r="BO68" i="10" s="1"/>
  <c r="BP68" i="10" s="1"/>
  <c r="BI70" i="10"/>
  <c r="CH73" i="10"/>
  <c r="CL73" i="10"/>
  <c r="BV76" i="10"/>
  <c r="CE77" i="10"/>
  <c r="BZ76" i="10"/>
  <c r="CI77" i="10"/>
  <c r="CI76" i="10" s="1"/>
  <c r="CD76" i="10"/>
  <c r="CM77" i="10"/>
  <c r="CM76" i="10" s="1"/>
  <c r="CE79" i="10"/>
  <c r="CP78" i="10"/>
  <c r="BW80" i="10"/>
  <c r="BQ87" i="10"/>
  <c r="CN88" i="10"/>
  <c r="CV88" i="10" s="1"/>
  <c r="CN94" i="10"/>
  <c r="CV94" i="10" s="1"/>
  <c r="CF77" i="10"/>
  <c r="CF76" i="10" s="1"/>
  <c r="CJ77" i="10"/>
  <c r="CJ76" i="10" s="1"/>
  <c r="BW93" i="10"/>
  <c r="BC7" i="2"/>
  <c r="BB7" i="2"/>
  <c r="BA7" i="2"/>
  <c r="AZ7" i="2"/>
  <c r="AY7" i="2"/>
  <c r="AX7" i="2"/>
  <c r="AW7" i="2"/>
  <c r="AV7" i="2"/>
  <c r="AU7" i="2"/>
  <c r="AR7" i="2"/>
  <c r="AQ7" i="2"/>
  <c r="AP7" i="2"/>
  <c r="AO7" i="2"/>
  <c r="AN7" i="2"/>
  <c r="AM7" i="2"/>
  <c r="AL7" i="2"/>
  <c r="AK7" i="2"/>
  <c r="AJ7" i="2"/>
  <c r="BC6" i="2"/>
  <c r="BB6" i="2"/>
  <c r="BA6" i="2"/>
  <c r="AZ6" i="2"/>
  <c r="AY6" i="2"/>
  <c r="AX6" i="2"/>
  <c r="AW6" i="2"/>
  <c r="AV6" i="2"/>
  <c r="AR6" i="2"/>
  <c r="AQ6" i="2"/>
  <c r="AP6" i="2"/>
  <c r="AO6" i="2"/>
  <c r="AN6" i="2"/>
  <c r="AM6" i="2"/>
  <c r="AL6" i="2"/>
  <c r="AK6" i="2"/>
  <c r="AJ6" i="2"/>
  <c r="BQ59" i="10" l="1"/>
  <c r="BX54" i="10"/>
  <c r="CM70" i="10"/>
  <c r="CH59" i="10"/>
  <c r="CI42" i="10"/>
  <c r="CI41" i="10" s="1"/>
  <c r="CI36" i="10" s="1"/>
  <c r="BJ14" i="10"/>
  <c r="BJ13" i="10" s="1"/>
  <c r="CK59" i="10"/>
  <c r="CK54" i="10" s="1"/>
  <c r="CB59" i="10"/>
  <c r="CB54" i="10" s="1"/>
  <c r="CD59" i="10"/>
  <c r="CD54" i="10" s="1"/>
  <c r="BV59" i="10"/>
  <c r="BV54" i="10" s="1"/>
  <c r="CJ59" i="10"/>
  <c r="CJ54" i="10" s="1"/>
  <c r="CG59" i="10"/>
  <c r="CG54" i="10" s="1"/>
  <c r="BX59" i="10"/>
  <c r="CM59" i="10"/>
  <c r="CM54" i="10" s="1"/>
  <c r="CN60" i="10"/>
  <c r="BV41" i="10"/>
  <c r="BV36" i="10" s="1"/>
  <c r="BZ59" i="10"/>
  <c r="CI70" i="10"/>
  <c r="CF14" i="10"/>
  <c r="BW13" i="10"/>
  <c r="BJ18" i="10"/>
  <c r="BI16" i="10"/>
  <c r="BI4" i="10" s="1"/>
  <c r="CE16" i="10"/>
  <c r="CK70" i="10"/>
  <c r="CH42" i="10"/>
  <c r="CF70" i="10"/>
  <c r="CL70" i="10"/>
  <c r="CL54" i="10"/>
  <c r="CF54" i="10"/>
  <c r="CJ42" i="10"/>
  <c r="CJ41" i="10" s="1"/>
  <c r="CJ36" i="10" s="1"/>
  <c r="CI26" i="10"/>
  <c r="CI25" i="10" s="1"/>
  <c r="CP65" i="10"/>
  <c r="CF26" i="10"/>
  <c r="BW54" i="10"/>
  <c r="BW41" i="10"/>
  <c r="BW36" i="10" s="1"/>
  <c r="CM42" i="10"/>
  <c r="CM41" i="10" s="1"/>
  <c r="CM36" i="10" s="1"/>
  <c r="CD41" i="10"/>
  <c r="CD36" i="10" s="1"/>
  <c r="CK25" i="10"/>
  <c r="CH25" i="10"/>
  <c r="CF25" i="10"/>
  <c r="CK42" i="10"/>
  <c r="BZ54" i="10"/>
  <c r="CF42" i="10"/>
  <c r="CF41" i="10" s="1"/>
  <c r="CF36" i="10" s="1"/>
  <c r="CG70" i="10"/>
  <c r="CL42" i="10"/>
  <c r="CL41" i="10" s="1"/>
  <c r="CL36" i="10" s="1"/>
  <c r="CN73" i="10"/>
  <c r="CV73" i="10" s="1"/>
  <c r="CN92" i="10"/>
  <c r="CV92" i="10" s="1"/>
  <c r="CN28" i="10"/>
  <c r="CV28" i="10" s="1"/>
  <c r="CG42" i="10"/>
  <c r="CG41" i="10" s="1"/>
  <c r="CG36" i="10" s="1"/>
  <c r="BQ70" i="10"/>
  <c r="BQ26" i="10"/>
  <c r="CK41" i="10"/>
  <c r="CK36" i="10" s="1"/>
  <c r="CM25" i="10"/>
  <c r="CL25" i="10"/>
  <c r="CE26" i="10"/>
  <c r="CE25" i="10" s="1"/>
  <c r="CN17" i="10"/>
  <c r="CV17" i="10" s="1"/>
  <c r="BV4" i="10"/>
  <c r="CH54" i="10"/>
  <c r="CV32" i="10"/>
  <c r="BH25" i="10"/>
  <c r="BQ25" i="10" s="1"/>
  <c r="BX14" i="10"/>
  <c r="CJ26" i="10"/>
  <c r="CJ25" i="10" s="1"/>
  <c r="CN32" i="10"/>
  <c r="BW5" i="10"/>
  <c r="CN45" i="10"/>
  <c r="CV45" i="10" s="1"/>
  <c r="BY9" i="10"/>
  <c r="BY5" i="10" s="1"/>
  <c r="BY54" i="10"/>
  <c r="CN46" i="10"/>
  <c r="CA54" i="10"/>
  <c r="CG25" i="10"/>
  <c r="BX5" i="10"/>
  <c r="BM9" i="10"/>
  <c r="BL5" i="10"/>
  <c r="CN87" i="10"/>
  <c r="CN12" i="10"/>
  <c r="CV12" i="10" s="1"/>
  <c r="CV11" i="10" s="1"/>
  <c r="CE11" i="10"/>
  <c r="CN11" i="10" s="1"/>
  <c r="CN44" i="10"/>
  <c r="CV44" i="10" s="1"/>
  <c r="CF15" i="10"/>
  <c r="BX15" i="10"/>
  <c r="CE5" i="10"/>
  <c r="CN8" i="10"/>
  <c r="CV8" i="10" s="1"/>
  <c r="CH70" i="10"/>
  <c r="CE67" i="10"/>
  <c r="BW67" i="10"/>
  <c r="BV66" i="10"/>
  <c r="BV65" i="10" s="1"/>
  <c r="CN58" i="10"/>
  <c r="CV58" i="10" s="1"/>
  <c r="CV57" i="10" s="1"/>
  <c r="CV55" i="10" s="1"/>
  <c r="CF80" i="10"/>
  <c r="BW78" i="10"/>
  <c r="CN79" i="10"/>
  <c r="CV79" i="10" s="1"/>
  <c r="CE78" i="10"/>
  <c r="CN90" i="10"/>
  <c r="CV90" i="10" s="1"/>
  <c r="CV87" i="10" s="1"/>
  <c r="CN84" i="10"/>
  <c r="CV84" i="10" s="1"/>
  <c r="CN64" i="10"/>
  <c r="CV64" i="10" s="1"/>
  <c r="CV63" i="10" s="1"/>
  <c r="CE63" i="10"/>
  <c r="CN63" i="10" s="1"/>
  <c r="CN47" i="10"/>
  <c r="CV47" i="10" s="1"/>
  <c r="CV46" i="10" s="1"/>
  <c r="CN37" i="10"/>
  <c r="BQ23" i="10"/>
  <c r="BH4" i="10"/>
  <c r="BH65" i="10"/>
  <c r="CN19" i="10"/>
  <c r="BW91" i="10"/>
  <c r="CF93" i="10"/>
  <c r="BX93" i="10"/>
  <c r="CN61" i="10"/>
  <c r="CV61" i="10" s="1"/>
  <c r="CV60" i="10" s="1"/>
  <c r="CV59" i="10" s="1"/>
  <c r="CN24" i="10"/>
  <c r="CV24" i="10" s="1"/>
  <c r="CV23" i="10" s="1"/>
  <c r="CE23" i="10"/>
  <c r="CN23" i="10" s="1"/>
  <c r="CN83" i="10"/>
  <c r="CV83" i="10" s="1"/>
  <c r="CF68" i="10"/>
  <c r="BX68" i="10"/>
  <c r="CI54" i="10"/>
  <c r="CN50" i="10"/>
  <c r="CN27" i="10"/>
  <c r="CV27" i="10" s="1"/>
  <c r="BQ68" i="10"/>
  <c r="CE42" i="10"/>
  <c r="CN43" i="10"/>
  <c r="CV43" i="10" s="1"/>
  <c r="BJ67" i="10"/>
  <c r="BI66" i="10"/>
  <c r="BI65" i="10" s="1"/>
  <c r="BQ55" i="10"/>
  <c r="CH41" i="10"/>
  <c r="CH36" i="10" s="1"/>
  <c r="BH36" i="10"/>
  <c r="BQ36" i="10" s="1"/>
  <c r="BQ41" i="10"/>
  <c r="CN20" i="10"/>
  <c r="CV20" i="10" s="1"/>
  <c r="CV19" i="10" s="1"/>
  <c r="CE76" i="10"/>
  <c r="CN76" i="10" s="1"/>
  <c r="CN77" i="10"/>
  <c r="CV77" i="10" s="1"/>
  <c r="CV76" i="10" s="1"/>
  <c r="BQ63" i="10"/>
  <c r="CN82" i="10"/>
  <c r="CE74" i="10"/>
  <c r="CN74" i="10" s="1"/>
  <c r="CN75" i="10"/>
  <c r="CV75" i="10" s="1"/>
  <c r="CV74" i="10" s="1"/>
  <c r="CE70" i="10"/>
  <c r="CN71" i="10"/>
  <c r="CV71" i="10" s="1"/>
  <c r="CV70" i="10" s="1"/>
  <c r="CN51" i="10"/>
  <c r="CV51" i="10" s="1"/>
  <c r="CV50" i="10" s="1"/>
  <c r="CF18" i="10"/>
  <c r="CF16" i="10" s="1"/>
  <c r="BX18" i="10"/>
  <c r="BX16" i="10" s="1"/>
  <c r="CE55" i="10"/>
  <c r="CN57" i="10"/>
  <c r="BQ57" i="10"/>
  <c r="CC41" i="10"/>
  <c r="CC36" i="10" s="1"/>
  <c r="BQ42" i="10"/>
  <c r="AV7" i="1"/>
  <c r="AK7" i="1"/>
  <c r="AK6" i="1"/>
  <c r="BK14" i="10" l="1"/>
  <c r="BK13" i="10" s="1"/>
  <c r="CE59" i="10"/>
  <c r="CN59" i="10" s="1"/>
  <c r="CF13" i="10"/>
  <c r="CF4" i="10" s="1"/>
  <c r="CV26" i="10"/>
  <c r="CV25" i="10" s="1"/>
  <c r="BX13" i="10"/>
  <c r="BK18" i="10"/>
  <c r="BJ16" i="10"/>
  <c r="BJ4" i="10" s="1"/>
  <c r="CV82" i="10"/>
  <c r="CN26" i="10"/>
  <c r="BY14" i="10"/>
  <c r="BZ9" i="10"/>
  <c r="BZ5" i="10" s="1"/>
  <c r="CG14" i="10"/>
  <c r="CN25" i="10"/>
  <c r="CH9" i="10"/>
  <c r="CH5" i="10" s="1"/>
  <c r="BX4" i="10"/>
  <c r="CV42" i="10"/>
  <c r="CV41" i="10" s="1"/>
  <c r="CV36" i="10" s="1"/>
  <c r="BW4" i="10"/>
  <c r="BH54" i="10"/>
  <c r="BQ54" i="10" s="1"/>
  <c r="BN9" i="10"/>
  <c r="BM5" i="10"/>
  <c r="BL14" i="10"/>
  <c r="BL13" i="10" s="1"/>
  <c r="CN55" i="10"/>
  <c r="CE41" i="10"/>
  <c r="CN42" i="10"/>
  <c r="CG18" i="10"/>
  <c r="CG16" i="10" s="1"/>
  <c r="BY18" i="10"/>
  <c r="BY16" i="10" s="1"/>
  <c r="CN70" i="10"/>
  <c r="CN80" i="10"/>
  <c r="CV80" i="10" s="1"/>
  <c r="CV78" i="10" s="1"/>
  <c r="CF78" i="10"/>
  <c r="CN78" i="10" s="1"/>
  <c r="CV54" i="10"/>
  <c r="CE66" i="10"/>
  <c r="CG15" i="10"/>
  <c r="BY15" i="10"/>
  <c r="CG93" i="10"/>
  <c r="CG91" i="10" s="1"/>
  <c r="BY93" i="10"/>
  <c r="BX91" i="10"/>
  <c r="BK67" i="10"/>
  <c r="BJ66" i="10"/>
  <c r="BJ65" i="10" s="1"/>
  <c r="CG68" i="10"/>
  <c r="BY68" i="10"/>
  <c r="CF91" i="10"/>
  <c r="BX67" i="10"/>
  <c r="BW66" i="10"/>
  <c r="BW65" i="10" s="1"/>
  <c r="CF67" i="10"/>
  <c r="CF66" i="10" s="1"/>
  <c r="CE4" i="10"/>
  <c r="O103" i="7"/>
  <c r="O203" i="7"/>
  <c r="N203" i="7"/>
  <c r="N202" i="7" s="1"/>
  <c r="M203" i="7"/>
  <c r="M202" i="7" s="1"/>
  <c r="L203" i="7"/>
  <c r="L202" i="7" s="1"/>
  <c r="K203" i="7"/>
  <c r="K202" i="7" s="1"/>
  <c r="J203" i="7"/>
  <c r="J202" i="7" s="1"/>
  <c r="I203" i="7"/>
  <c r="H203" i="7"/>
  <c r="H202" i="7" s="1"/>
  <c r="G203" i="7"/>
  <c r="G202" i="7" s="1"/>
  <c r="F203" i="7"/>
  <c r="O201" i="7"/>
  <c r="N201" i="7"/>
  <c r="N200" i="7" s="1"/>
  <c r="M201" i="7"/>
  <c r="M200" i="7" s="1"/>
  <c r="L201" i="7"/>
  <c r="L200" i="7" s="1"/>
  <c r="K201" i="7"/>
  <c r="K200" i="7" s="1"/>
  <c r="J201" i="7"/>
  <c r="J200" i="7" s="1"/>
  <c r="I201" i="7"/>
  <c r="I200" i="7" s="1"/>
  <c r="H201" i="7"/>
  <c r="H200" i="7" s="1"/>
  <c r="G201" i="7"/>
  <c r="F201" i="7"/>
  <c r="F200" i="7" s="1"/>
  <c r="O199" i="7"/>
  <c r="N199" i="7"/>
  <c r="M199" i="7"/>
  <c r="L199" i="7"/>
  <c r="K199" i="7"/>
  <c r="J199" i="7"/>
  <c r="I199" i="7"/>
  <c r="H199" i="7"/>
  <c r="G199" i="7"/>
  <c r="F199" i="7"/>
  <c r="O198" i="7"/>
  <c r="N198" i="7"/>
  <c r="M198" i="7"/>
  <c r="L198" i="7"/>
  <c r="K198" i="7"/>
  <c r="J198" i="7"/>
  <c r="I198" i="7"/>
  <c r="H198" i="7"/>
  <c r="G198" i="7"/>
  <c r="F198" i="7"/>
  <c r="O197" i="7"/>
  <c r="N197" i="7"/>
  <c r="M197" i="7"/>
  <c r="L197" i="7"/>
  <c r="K197" i="7"/>
  <c r="J197" i="7"/>
  <c r="I197" i="7"/>
  <c r="H197" i="7"/>
  <c r="G197" i="7"/>
  <c r="G196" i="7" s="1"/>
  <c r="F197" i="7"/>
  <c r="O195" i="7"/>
  <c r="N195" i="7"/>
  <c r="M195" i="7"/>
  <c r="L195" i="7"/>
  <c r="K195" i="7"/>
  <c r="J195" i="7"/>
  <c r="I195" i="7"/>
  <c r="H195" i="7"/>
  <c r="G195" i="7"/>
  <c r="F195" i="7"/>
  <c r="O194" i="7"/>
  <c r="N194" i="7"/>
  <c r="M194" i="7"/>
  <c r="L194" i="7"/>
  <c r="K194" i="7"/>
  <c r="J194" i="7"/>
  <c r="I194" i="7"/>
  <c r="H194" i="7"/>
  <c r="G194" i="7"/>
  <c r="G192" i="7" s="1"/>
  <c r="F194" i="7"/>
  <c r="O193" i="7"/>
  <c r="N193" i="7"/>
  <c r="M193" i="7"/>
  <c r="M192" i="7" s="1"/>
  <c r="L193" i="7"/>
  <c r="K193" i="7"/>
  <c r="J193" i="7"/>
  <c r="I193" i="7"/>
  <c r="I192" i="7" s="1"/>
  <c r="H193" i="7"/>
  <c r="G193" i="7"/>
  <c r="F193" i="7"/>
  <c r="O191" i="7"/>
  <c r="N191" i="7"/>
  <c r="N190" i="7" s="1"/>
  <c r="M191" i="7"/>
  <c r="M190" i="7" s="1"/>
  <c r="L191" i="7"/>
  <c r="L190" i="7" s="1"/>
  <c r="K191" i="7"/>
  <c r="K190" i="7" s="1"/>
  <c r="J191" i="7"/>
  <c r="J190" i="7" s="1"/>
  <c r="I191" i="7"/>
  <c r="I190" i="7" s="1"/>
  <c r="H191" i="7"/>
  <c r="H190" i="7" s="1"/>
  <c r="G191" i="7"/>
  <c r="G190" i="7" s="1"/>
  <c r="F191" i="7"/>
  <c r="F190" i="7" s="1"/>
  <c r="O189" i="7"/>
  <c r="N189" i="7"/>
  <c r="M189" i="7"/>
  <c r="L189" i="7"/>
  <c r="K189" i="7"/>
  <c r="J189" i="7"/>
  <c r="I189" i="7"/>
  <c r="I187" i="7" s="1"/>
  <c r="H189" i="7"/>
  <c r="G189" i="7"/>
  <c r="F189" i="7"/>
  <c r="O188" i="7"/>
  <c r="N188" i="7"/>
  <c r="M188" i="7"/>
  <c r="L188" i="7"/>
  <c r="K188" i="7"/>
  <c r="J188" i="7"/>
  <c r="I188" i="7"/>
  <c r="H188" i="7"/>
  <c r="G188" i="7"/>
  <c r="G187" i="7" s="1"/>
  <c r="F188" i="7"/>
  <c r="O186" i="7"/>
  <c r="N186" i="7"/>
  <c r="M186" i="7"/>
  <c r="L186" i="7"/>
  <c r="K186" i="7"/>
  <c r="J186" i="7"/>
  <c r="I186" i="7"/>
  <c r="H186" i="7"/>
  <c r="G186" i="7"/>
  <c r="F186" i="7"/>
  <c r="O182" i="7"/>
  <c r="N182" i="7"/>
  <c r="N181" i="7" s="1"/>
  <c r="M182" i="7"/>
  <c r="M181" i="7" s="1"/>
  <c r="L182" i="7"/>
  <c r="L181" i="7" s="1"/>
  <c r="K182" i="7"/>
  <c r="K181" i="7" s="1"/>
  <c r="J182" i="7"/>
  <c r="J181" i="7" s="1"/>
  <c r="I182" i="7"/>
  <c r="I181" i="7" s="1"/>
  <c r="H182" i="7"/>
  <c r="H181" i="7" s="1"/>
  <c r="G182" i="7"/>
  <c r="G181" i="7" s="1"/>
  <c r="F182" i="7"/>
  <c r="F181" i="7" s="1"/>
  <c r="O180" i="7"/>
  <c r="N180" i="7"/>
  <c r="N179" i="7" s="1"/>
  <c r="M180" i="7"/>
  <c r="M179" i="7" s="1"/>
  <c r="L180" i="7"/>
  <c r="L179" i="7" s="1"/>
  <c r="K180" i="7"/>
  <c r="K179" i="7" s="1"/>
  <c r="J180" i="7"/>
  <c r="J179" i="7" s="1"/>
  <c r="I180" i="7"/>
  <c r="I179" i="7" s="1"/>
  <c r="H180" i="7"/>
  <c r="H179" i="7" s="1"/>
  <c r="G180" i="7"/>
  <c r="F180" i="7"/>
  <c r="F179" i="7" s="1"/>
  <c r="O178" i="7"/>
  <c r="N178" i="7"/>
  <c r="M178" i="7"/>
  <c r="L178" i="7"/>
  <c r="K178" i="7"/>
  <c r="J178" i="7"/>
  <c r="I178" i="7"/>
  <c r="H178" i="7"/>
  <c r="G178" i="7"/>
  <c r="F178" i="7"/>
  <c r="O177" i="7"/>
  <c r="N177" i="7"/>
  <c r="M177" i="7"/>
  <c r="L177" i="7"/>
  <c r="K177" i="7"/>
  <c r="J177" i="7"/>
  <c r="I177" i="7"/>
  <c r="I175" i="7" s="1"/>
  <c r="H177" i="7"/>
  <c r="G177" i="7"/>
  <c r="F177" i="7"/>
  <c r="O176" i="7"/>
  <c r="N176" i="7"/>
  <c r="M176" i="7"/>
  <c r="L176" i="7"/>
  <c r="K176" i="7"/>
  <c r="J176" i="7"/>
  <c r="I176" i="7"/>
  <c r="H176" i="7"/>
  <c r="G176" i="7"/>
  <c r="G175" i="7" s="1"/>
  <c r="F176" i="7"/>
  <c r="O174" i="7"/>
  <c r="N174" i="7"/>
  <c r="M174" i="7"/>
  <c r="L174" i="7"/>
  <c r="K174" i="7"/>
  <c r="J174" i="7"/>
  <c r="I174" i="7"/>
  <c r="H174" i="7"/>
  <c r="G174" i="7"/>
  <c r="F174" i="7"/>
  <c r="O173" i="7"/>
  <c r="N173" i="7"/>
  <c r="M173" i="7"/>
  <c r="L173" i="7"/>
  <c r="K173" i="7"/>
  <c r="J173" i="7"/>
  <c r="I173" i="7"/>
  <c r="H173" i="7"/>
  <c r="G173" i="7"/>
  <c r="F173" i="7"/>
  <c r="O172" i="7"/>
  <c r="N172" i="7"/>
  <c r="M172" i="7"/>
  <c r="L172" i="7"/>
  <c r="K172" i="7"/>
  <c r="J172" i="7"/>
  <c r="I172" i="7"/>
  <c r="H172" i="7"/>
  <c r="G172" i="7"/>
  <c r="F172" i="7"/>
  <c r="O169" i="7"/>
  <c r="N169" i="7"/>
  <c r="N168" i="7" s="1"/>
  <c r="M169" i="7"/>
  <c r="L169" i="7"/>
  <c r="L168" i="7" s="1"/>
  <c r="K169" i="7"/>
  <c r="K168" i="7" s="1"/>
  <c r="J169" i="7"/>
  <c r="I169" i="7"/>
  <c r="H169" i="7"/>
  <c r="H168" i="7" s="1"/>
  <c r="G169" i="7"/>
  <c r="G168" i="7" s="1"/>
  <c r="F169" i="7"/>
  <c r="F168" i="7" s="1"/>
  <c r="O167" i="7"/>
  <c r="N167" i="7"/>
  <c r="M167" i="7"/>
  <c r="L167" i="7"/>
  <c r="K167" i="7"/>
  <c r="J167" i="7"/>
  <c r="I167" i="7"/>
  <c r="H167" i="7"/>
  <c r="G167" i="7"/>
  <c r="F167" i="7"/>
  <c r="O163" i="7"/>
  <c r="N163" i="7"/>
  <c r="N162" i="7" s="1"/>
  <c r="N160" i="7" s="1"/>
  <c r="M163" i="7"/>
  <c r="L163" i="7"/>
  <c r="L162" i="7" s="1"/>
  <c r="L160" i="7" s="1"/>
  <c r="K163" i="7"/>
  <c r="K162" i="7" s="1"/>
  <c r="K160" i="7" s="1"/>
  <c r="J163" i="7"/>
  <c r="J162" i="7" s="1"/>
  <c r="J160" i="7" s="1"/>
  <c r="I163" i="7"/>
  <c r="H163" i="7"/>
  <c r="H162" i="7" s="1"/>
  <c r="H160" i="7" s="1"/>
  <c r="G163" i="7"/>
  <c r="G162" i="7" s="1"/>
  <c r="G160" i="7" s="1"/>
  <c r="F163" i="7"/>
  <c r="F162" i="7" s="1"/>
  <c r="F160" i="7" s="1"/>
  <c r="O158" i="7"/>
  <c r="N158" i="7"/>
  <c r="M158" i="7"/>
  <c r="M157" i="7" s="1"/>
  <c r="L158" i="7"/>
  <c r="L157" i="7" s="1"/>
  <c r="K158" i="7"/>
  <c r="J158" i="7"/>
  <c r="I158" i="7"/>
  <c r="I157" i="7" s="1"/>
  <c r="H158" i="7"/>
  <c r="H157" i="7" s="1"/>
  <c r="G158" i="7"/>
  <c r="F158" i="7"/>
  <c r="F157" i="7" s="1"/>
  <c r="O156" i="7"/>
  <c r="N156" i="7"/>
  <c r="N155" i="7" s="1"/>
  <c r="M156" i="7"/>
  <c r="L156" i="7"/>
  <c r="L155" i="7" s="1"/>
  <c r="K156" i="7"/>
  <c r="K155" i="7" s="1"/>
  <c r="J156" i="7"/>
  <c r="J155" i="7" s="1"/>
  <c r="I156" i="7"/>
  <c r="H156" i="7"/>
  <c r="H155" i="7" s="1"/>
  <c r="G156" i="7"/>
  <c r="G155" i="7" s="1"/>
  <c r="F156" i="7"/>
  <c r="F155" i="7" s="1"/>
  <c r="O154" i="7"/>
  <c r="N154" i="7"/>
  <c r="N153" i="7" s="1"/>
  <c r="M154" i="7"/>
  <c r="M153" i="7" s="1"/>
  <c r="L154" i="7"/>
  <c r="L153" i="7" s="1"/>
  <c r="K154" i="7"/>
  <c r="J154" i="7"/>
  <c r="J153" i="7" s="1"/>
  <c r="I154" i="7"/>
  <c r="I153" i="7" s="1"/>
  <c r="H154" i="7"/>
  <c r="H153" i="7" s="1"/>
  <c r="G154" i="7"/>
  <c r="F154" i="7"/>
  <c r="O152" i="7"/>
  <c r="N152" i="7"/>
  <c r="N151" i="7" s="1"/>
  <c r="M152" i="7"/>
  <c r="L152" i="7"/>
  <c r="L151" i="7" s="1"/>
  <c r="K152" i="7"/>
  <c r="K151" i="7" s="1"/>
  <c r="J152" i="7"/>
  <c r="J151" i="7" s="1"/>
  <c r="I152" i="7"/>
  <c r="H152" i="7"/>
  <c r="H151" i="7" s="1"/>
  <c r="G152" i="7"/>
  <c r="G151" i="7" s="1"/>
  <c r="F152" i="7"/>
  <c r="F151" i="7" s="1"/>
  <c r="O150" i="7"/>
  <c r="N150" i="7"/>
  <c r="M150" i="7"/>
  <c r="L150" i="7"/>
  <c r="K150" i="7"/>
  <c r="J150" i="7"/>
  <c r="I150" i="7"/>
  <c r="H150" i="7"/>
  <c r="G150" i="7"/>
  <c r="F150" i="7"/>
  <c r="O149" i="7"/>
  <c r="N149" i="7"/>
  <c r="M149" i="7"/>
  <c r="L149" i="7"/>
  <c r="K149" i="7"/>
  <c r="J149" i="7"/>
  <c r="I149" i="7"/>
  <c r="H149" i="7"/>
  <c r="G149" i="7"/>
  <c r="G147" i="7" s="1"/>
  <c r="F149" i="7"/>
  <c r="O148" i="7"/>
  <c r="N148" i="7"/>
  <c r="M148" i="7"/>
  <c r="M147" i="7" s="1"/>
  <c r="L148" i="7"/>
  <c r="K148" i="7"/>
  <c r="J148" i="7"/>
  <c r="I148" i="7"/>
  <c r="H148" i="7"/>
  <c r="G148" i="7"/>
  <c r="F148" i="7"/>
  <c r="O145" i="7"/>
  <c r="N145" i="7"/>
  <c r="N144" i="7" s="1"/>
  <c r="N142" i="7" s="1"/>
  <c r="M145" i="7"/>
  <c r="L145" i="7"/>
  <c r="L144" i="7" s="1"/>
  <c r="L142" i="7" s="1"/>
  <c r="K145" i="7"/>
  <c r="K144" i="7" s="1"/>
  <c r="K142" i="7" s="1"/>
  <c r="J145" i="7"/>
  <c r="J144" i="7" s="1"/>
  <c r="J142" i="7" s="1"/>
  <c r="I145" i="7"/>
  <c r="H145" i="7"/>
  <c r="H144" i="7" s="1"/>
  <c r="H142" i="7" s="1"/>
  <c r="G145" i="7"/>
  <c r="G144" i="7" s="1"/>
  <c r="G142" i="7" s="1"/>
  <c r="F145" i="7"/>
  <c r="O140" i="7"/>
  <c r="N140" i="7"/>
  <c r="M140" i="7"/>
  <c r="L140" i="7"/>
  <c r="K140" i="7"/>
  <c r="J140" i="7"/>
  <c r="I140" i="7"/>
  <c r="H140" i="7"/>
  <c r="G140" i="7"/>
  <c r="F140" i="7"/>
  <c r="O139" i="7"/>
  <c r="N139" i="7"/>
  <c r="M139" i="7"/>
  <c r="L139" i="7"/>
  <c r="K139" i="7"/>
  <c r="K137" i="7" s="1"/>
  <c r="J139" i="7"/>
  <c r="I139" i="7"/>
  <c r="H139" i="7"/>
  <c r="G139" i="7"/>
  <c r="F139" i="7"/>
  <c r="O138" i="7"/>
  <c r="N138" i="7"/>
  <c r="M138" i="7"/>
  <c r="L138" i="7"/>
  <c r="K138" i="7"/>
  <c r="J138" i="7"/>
  <c r="I138" i="7"/>
  <c r="I137" i="7" s="1"/>
  <c r="H138" i="7"/>
  <c r="G138" i="7"/>
  <c r="F138" i="7"/>
  <c r="N136" i="7"/>
  <c r="N135" i="7" s="1"/>
  <c r="M136" i="7"/>
  <c r="L136" i="7"/>
  <c r="L135" i="7" s="1"/>
  <c r="K136" i="7"/>
  <c r="J136" i="7"/>
  <c r="J135" i="7" s="1"/>
  <c r="I136" i="7"/>
  <c r="H136" i="7"/>
  <c r="H135" i="7" s="1"/>
  <c r="G136" i="7"/>
  <c r="G135" i="7" s="1"/>
  <c r="F136" i="7"/>
  <c r="F135" i="7" s="1"/>
  <c r="O134" i="7"/>
  <c r="N134" i="7"/>
  <c r="M134" i="7"/>
  <c r="L134" i="7"/>
  <c r="K134" i="7"/>
  <c r="J134" i="7"/>
  <c r="I134" i="7"/>
  <c r="H134" i="7"/>
  <c r="G134" i="7"/>
  <c r="F134" i="7"/>
  <c r="O133" i="7"/>
  <c r="N133" i="7"/>
  <c r="M133" i="7"/>
  <c r="L133" i="7"/>
  <c r="K133" i="7"/>
  <c r="J133" i="7"/>
  <c r="I133" i="7"/>
  <c r="H133" i="7"/>
  <c r="G133" i="7"/>
  <c r="F133" i="7"/>
  <c r="O132" i="7"/>
  <c r="N132" i="7"/>
  <c r="M132" i="7"/>
  <c r="L132" i="7"/>
  <c r="K132" i="7"/>
  <c r="J132" i="7"/>
  <c r="I132" i="7"/>
  <c r="H132" i="7"/>
  <c r="G132" i="7"/>
  <c r="F132" i="7"/>
  <c r="O129" i="7"/>
  <c r="N129" i="7"/>
  <c r="N128" i="7" s="1"/>
  <c r="M129" i="7"/>
  <c r="L129" i="7"/>
  <c r="K129" i="7"/>
  <c r="K128" i="7" s="1"/>
  <c r="J129" i="7"/>
  <c r="J128" i="7" s="1"/>
  <c r="I129" i="7"/>
  <c r="H129" i="7"/>
  <c r="G129" i="7"/>
  <c r="G128" i="7" s="1"/>
  <c r="F129" i="7"/>
  <c r="F128" i="7" s="1"/>
  <c r="O127" i="7"/>
  <c r="N127" i="7"/>
  <c r="N126" i="7" s="1"/>
  <c r="M127" i="7"/>
  <c r="L127" i="7"/>
  <c r="L126" i="7" s="1"/>
  <c r="K127" i="7"/>
  <c r="J127" i="7"/>
  <c r="I127" i="7"/>
  <c r="I126" i="7" s="1"/>
  <c r="H127" i="7"/>
  <c r="H126" i="7" s="1"/>
  <c r="G127" i="7"/>
  <c r="F127" i="7"/>
  <c r="O125" i="7"/>
  <c r="N125" i="7"/>
  <c r="N124" i="7" s="1"/>
  <c r="M125" i="7"/>
  <c r="M124" i="7" s="1"/>
  <c r="L125" i="7"/>
  <c r="L124" i="7" s="1"/>
  <c r="K125" i="7"/>
  <c r="K124" i="7" s="1"/>
  <c r="J125" i="7"/>
  <c r="J124" i="7" s="1"/>
  <c r="I125" i="7"/>
  <c r="I124" i="7" s="1"/>
  <c r="H125" i="7"/>
  <c r="H124" i="7" s="1"/>
  <c r="G125" i="7"/>
  <c r="F125" i="7"/>
  <c r="F124" i="7" s="1"/>
  <c r="O123" i="7"/>
  <c r="N123" i="7"/>
  <c r="M123" i="7"/>
  <c r="L123" i="7"/>
  <c r="K123" i="7"/>
  <c r="J123" i="7"/>
  <c r="I123" i="7"/>
  <c r="H123" i="7"/>
  <c r="G123" i="7"/>
  <c r="F123" i="7"/>
  <c r="O122" i="7"/>
  <c r="N122" i="7"/>
  <c r="N121" i="7" s="1"/>
  <c r="M122" i="7"/>
  <c r="L122" i="7"/>
  <c r="L121" i="7" s="1"/>
  <c r="K122" i="7"/>
  <c r="J122" i="7"/>
  <c r="J121" i="7" s="1"/>
  <c r="I122" i="7"/>
  <c r="H122" i="7"/>
  <c r="G122" i="7"/>
  <c r="G121" i="7" s="1"/>
  <c r="F122" i="7"/>
  <c r="F121" i="7" s="1"/>
  <c r="O120" i="7"/>
  <c r="N120" i="7"/>
  <c r="M120" i="7"/>
  <c r="L120" i="7"/>
  <c r="K120" i="7"/>
  <c r="J120" i="7"/>
  <c r="I120" i="7"/>
  <c r="H120" i="7"/>
  <c r="G120" i="7"/>
  <c r="F120" i="7"/>
  <c r="O119" i="7"/>
  <c r="N119" i="7"/>
  <c r="N118" i="7" s="1"/>
  <c r="M119" i="7"/>
  <c r="L119" i="7"/>
  <c r="K119" i="7"/>
  <c r="K118" i="7" s="1"/>
  <c r="J119" i="7"/>
  <c r="J118" i="7" s="1"/>
  <c r="I119" i="7"/>
  <c r="H119" i="7"/>
  <c r="G119" i="7"/>
  <c r="F119" i="7"/>
  <c r="F118" i="7" s="1"/>
  <c r="O117" i="7"/>
  <c r="N117" i="7"/>
  <c r="M117" i="7"/>
  <c r="M116" i="7" s="1"/>
  <c r="L117" i="7"/>
  <c r="L116" i="7" s="1"/>
  <c r="K117" i="7"/>
  <c r="J117" i="7"/>
  <c r="I117" i="7"/>
  <c r="I116" i="7" s="1"/>
  <c r="H117" i="7"/>
  <c r="H116" i="7" s="1"/>
  <c r="G117" i="7"/>
  <c r="F117" i="7"/>
  <c r="O115" i="7"/>
  <c r="N115" i="7"/>
  <c r="M115" i="7"/>
  <c r="L115" i="7"/>
  <c r="K115" i="7"/>
  <c r="J115" i="7"/>
  <c r="I115" i="7"/>
  <c r="H115" i="7"/>
  <c r="G115" i="7"/>
  <c r="F115" i="7"/>
  <c r="O114" i="7"/>
  <c r="N114" i="7"/>
  <c r="M114" i="7"/>
  <c r="L114" i="7"/>
  <c r="K114" i="7"/>
  <c r="J114" i="7"/>
  <c r="I114" i="7"/>
  <c r="H114" i="7"/>
  <c r="G114" i="7"/>
  <c r="F114" i="7"/>
  <c r="O113" i="7"/>
  <c r="N113" i="7"/>
  <c r="M113" i="7"/>
  <c r="L113" i="7"/>
  <c r="K113" i="7"/>
  <c r="J113" i="7"/>
  <c r="I113" i="7"/>
  <c r="H113" i="7"/>
  <c r="G113" i="7"/>
  <c r="F113" i="7"/>
  <c r="O112" i="7"/>
  <c r="N112" i="7"/>
  <c r="M112" i="7"/>
  <c r="L112" i="7"/>
  <c r="K112" i="7"/>
  <c r="J112" i="7"/>
  <c r="I112" i="7"/>
  <c r="H112" i="7"/>
  <c r="G112" i="7"/>
  <c r="F112" i="7"/>
  <c r="O111" i="7"/>
  <c r="N111" i="7"/>
  <c r="M111" i="7"/>
  <c r="L111" i="7"/>
  <c r="K111" i="7"/>
  <c r="J111" i="7"/>
  <c r="I111" i="7"/>
  <c r="H111" i="7"/>
  <c r="G111" i="7"/>
  <c r="F111" i="7"/>
  <c r="O98" i="7"/>
  <c r="N98" i="7"/>
  <c r="N97" i="7" s="1"/>
  <c r="M98" i="7"/>
  <c r="L98" i="7"/>
  <c r="L97" i="7" s="1"/>
  <c r="K98" i="7"/>
  <c r="J98" i="7"/>
  <c r="J97" i="7" s="1"/>
  <c r="I98" i="7"/>
  <c r="I97" i="7" s="1"/>
  <c r="H98" i="7"/>
  <c r="H97" i="7" s="1"/>
  <c r="G98" i="7"/>
  <c r="F98" i="7"/>
  <c r="F97" i="7" s="1"/>
  <c r="O96" i="7"/>
  <c r="N96" i="7"/>
  <c r="N95" i="7" s="1"/>
  <c r="M96" i="7"/>
  <c r="L96" i="7"/>
  <c r="L95" i="7" s="1"/>
  <c r="K96" i="7"/>
  <c r="K95" i="7" s="1"/>
  <c r="J96" i="7"/>
  <c r="J95" i="7" s="1"/>
  <c r="I96" i="7"/>
  <c r="H96" i="7"/>
  <c r="H95" i="7" s="1"/>
  <c r="G96" i="7"/>
  <c r="F96" i="7"/>
  <c r="F95" i="7" s="1"/>
  <c r="O94" i="7"/>
  <c r="N94" i="7"/>
  <c r="M94" i="7"/>
  <c r="L94" i="7"/>
  <c r="K94" i="7"/>
  <c r="J94" i="7"/>
  <c r="I94" i="7"/>
  <c r="H94" i="7"/>
  <c r="G94" i="7"/>
  <c r="F94" i="7"/>
  <c r="O93" i="7"/>
  <c r="N93" i="7"/>
  <c r="M93" i="7"/>
  <c r="L93" i="7"/>
  <c r="K93" i="7"/>
  <c r="J93" i="7"/>
  <c r="I93" i="7"/>
  <c r="H93" i="7"/>
  <c r="G93" i="7"/>
  <c r="F93" i="7"/>
  <c r="O92" i="7"/>
  <c r="N92" i="7"/>
  <c r="M92" i="7"/>
  <c r="L92" i="7"/>
  <c r="K92" i="7"/>
  <c r="J92" i="7"/>
  <c r="I92" i="7"/>
  <c r="H92" i="7"/>
  <c r="G92" i="7"/>
  <c r="F92" i="7"/>
  <c r="O90" i="7"/>
  <c r="N90" i="7"/>
  <c r="M90" i="7"/>
  <c r="L90" i="7"/>
  <c r="K90" i="7"/>
  <c r="J90" i="7"/>
  <c r="I90" i="7"/>
  <c r="H90" i="7"/>
  <c r="G90" i="7"/>
  <c r="F90" i="7"/>
  <c r="O89" i="7"/>
  <c r="N89" i="7"/>
  <c r="M89" i="7"/>
  <c r="L89" i="7"/>
  <c r="K89" i="7"/>
  <c r="J89" i="7"/>
  <c r="I89" i="7"/>
  <c r="H89" i="7"/>
  <c r="G89" i="7"/>
  <c r="F89" i="7"/>
  <c r="O88" i="7"/>
  <c r="N88" i="7"/>
  <c r="M88" i="7"/>
  <c r="L88" i="7"/>
  <c r="K88" i="7"/>
  <c r="K87" i="7" s="1"/>
  <c r="J88" i="7"/>
  <c r="I88" i="7"/>
  <c r="H88" i="7"/>
  <c r="G88" i="7"/>
  <c r="F88" i="7"/>
  <c r="O86" i="7"/>
  <c r="N86" i="7"/>
  <c r="N85" i="7" s="1"/>
  <c r="M86" i="7"/>
  <c r="M85" i="7" s="1"/>
  <c r="L86" i="7"/>
  <c r="L85" i="7" s="1"/>
  <c r="K86" i="7"/>
  <c r="J86" i="7"/>
  <c r="J85" i="7" s="1"/>
  <c r="I86" i="7"/>
  <c r="I85" i="7" s="1"/>
  <c r="H86" i="7"/>
  <c r="H85" i="7" s="1"/>
  <c r="G86" i="7"/>
  <c r="F86" i="7"/>
  <c r="F85" i="7" s="1"/>
  <c r="O84" i="7"/>
  <c r="N84" i="7"/>
  <c r="M84" i="7"/>
  <c r="L84" i="7"/>
  <c r="K84" i="7"/>
  <c r="K82" i="7" s="1"/>
  <c r="J84" i="7"/>
  <c r="I84" i="7"/>
  <c r="H84" i="7"/>
  <c r="G84" i="7"/>
  <c r="G82" i="7" s="1"/>
  <c r="F84" i="7"/>
  <c r="O83" i="7"/>
  <c r="N83" i="7"/>
  <c r="M83" i="7"/>
  <c r="M82" i="7" s="1"/>
  <c r="L83" i="7"/>
  <c r="K83" i="7"/>
  <c r="J83" i="7"/>
  <c r="I83" i="7"/>
  <c r="I82" i="7" s="1"/>
  <c r="H83" i="7"/>
  <c r="G83" i="7"/>
  <c r="F83" i="7"/>
  <c r="O81" i="7"/>
  <c r="N81" i="7"/>
  <c r="M81" i="7"/>
  <c r="L81" i="7"/>
  <c r="K81" i="7"/>
  <c r="J81" i="7"/>
  <c r="I81" i="7"/>
  <c r="H81" i="7"/>
  <c r="G81" i="7"/>
  <c r="F81" i="7"/>
  <c r="O77" i="7"/>
  <c r="N77" i="7"/>
  <c r="N76" i="7" s="1"/>
  <c r="M77" i="7"/>
  <c r="M76" i="7" s="1"/>
  <c r="L77" i="7"/>
  <c r="L76" i="7" s="1"/>
  <c r="K77" i="7"/>
  <c r="J77" i="7"/>
  <c r="J76" i="7" s="1"/>
  <c r="I77" i="7"/>
  <c r="I76" i="7" s="1"/>
  <c r="H77" i="7"/>
  <c r="H76" i="7" s="1"/>
  <c r="G77" i="7"/>
  <c r="F77" i="7"/>
  <c r="F76" i="7" s="1"/>
  <c r="O75" i="7"/>
  <c r="N75" i="7"/>
  <c r="N74" i="7" s="1"/>
  <c r="M75" i="7"/>
  <c r="L75" i="7"/>
  <c r="L74" i="7" s="1"/>
  <c r="K75" i="7"/>
  <c r="J75" i="7"/>
  <c r="J74" i="7" s="1"/>
  <c r="I75" i="7"/>
  <c r="H75" i="7"/>
  <c r="G75" i="7"/>
  <c r="F75" i="7"/>
  <c r="F74" i="7" s="1"/>
  <c r="O73" i="7"/>
  <c r="N73" i="7"/>
  <c r="M73" i="7"/>
  <c r="L73" i="7"/>
  <c r="K73" i="7"/>
  <c r="J73" i="7"/>
  <c r="I73" i="7"/>
  <c r="H73" i="7"/>
  <c r="G73" i="7"/>
  <c r="F73" i="7"/>
  <c r="O72" i="7"/>
  <c r="N72" i="7"/>
  <c r="M72" i="7"/>
  <c r="L72" i="7"/>
  <c r="K72" i="7"/>
  <c r="K70" i="7" s="1"/>
  <c r="J72" i="7"/>
  <c r="I72" i="7"/>
  <c r="H72" i="7"/>
  <c r="G72" i="7"/>
  <c r="G70" i="7" s="1"/>
  <c r="F72" i="7"/>
  <c r="O71" i="7"/>
  <c r="N71" i="7"/>
  <c r="M71" i="7"/>
  <c r="M70" i="7" s="1"/>
  <c r="L71" i="7"/>
  <c r="K71" i="7"/>
  <c r="J71" i="7"/>
  <c r="I71" i="7"/>
  <c r="I70" i="7" s="1"/>
  <c r="H71" i="7"/>
  <c r="G71" i="7"/>
  <c r="F71" i="7"/>
  <c r="O69" i="7"/>
  <c r="N69" i="7"/>
  <c r="M69" i="7"/>
  <c r="L69" i="7"/>
  <c r="K69" i="7"/>
  <c r="J69" i="7"/>
  <c r="I69" i="7"/>
  <c r="H69" i="7"/>
  <c r="G69" i="7"/>
  <c r="F69" i="7"/>
  <c r="O68" i="7"/>
  <c r="N68" i="7"/>
  <c r="M68" i="7"/>
  <c r="M66" i="7" s="1"/>
  <c r="L68" i="7"/>
  <c r="K68" i="7"/>
  <c r="J68" i="7"/>
  <c r="I68" i="7"/>
  <c r="I66" i="7" s="1"/>
  <c r="H68" i="7"/>
  <c r="G68" i="7"/>
  <c r="F68" i="7"/>
  <c r="O67" i="7"/>
  <c r="N67" i="7"/>
  <c r="M67" i="7"/>
  <c r="L67" i="7"/>
  <c r="K67" i="7"/>
  <c r="K66" i="7" s="1"/>
  <c r="J67" i="7"/>
  <c r="I67" i="7"/>
  <c r="H67" i="7"/>
  <c r="G67" i="7"/>
  <c r="G66" i="7" s="1"/>
  <c r="F67" i="7"/>
  <c r="O64" i="7"/>
  <c r="N64" i="7"/>
  <c r="M64" i="7"/>
  <c r="L64" i="7"/>
  <c r="L63" i="7" s="1"/>
  <c r="K64" i="7"/>
  <c r="J64" i="7"/>
  <c r="J63" i="7" s="1"/>
  <c r="I64" i="7"/>
  <c r="H64" i="7"/>
  <c r="H63" i="7" s="1"/>
  <c r="G64" i="7"/>
  <c r="G63" i="7" s="1"/>
  <c r="F64" i="7"/>
  <c r="F63" i="7" s="1"/>
  <c r="O62" i="7"/>
  <c r="N62" i="7"/>
  <c r="M62" i="7"/>
  <c r="L62" i="7"/>
  <c r="K62" i="7"/>
  <c r="J62" i="7"/>
  <c r="I62" i="7"/>
  <c r="H62" i="7"/>
  <c r="G62" i="7"/>
  <c r="F62" i="7"/>
  <c r="O58" i="7"/>
  <c r="N58" i="7"/>
  <c r="N57" i="7" s="1"/>
  <c r="N55" i="7" s="1"/>
  <c r="M58" i="7"/>
  <c r="M57" i="7" s="1"/>
  <c r="M55" i="7" s="1"/>
  <c r="L58" i="7"/>
  <c r="L57" i="7" s="1"/>
  <c r="L55" i="7" s="1"/>
  <c r="K58" i="7"/>
  <c r="J58" i="7"/>
  <c r="J57" i="7" s="1"/>
  <c r="J55" i="7" s="1"/>
  <c r="I58" i="7"/>
  <c r="H58" i="7"/>
  <c r="H57" i="7" s="1"/>
  <c r="H55" i="7" s="1"/>
  <c r="G58" i="7"/>
  <c r="F58" i="7"/>
  <c r="F57" i="7" s="1"/>
  <c r="F55" i="7" s="1"/>
  <c r="O53" i="7"/>
  <c r="N53" i="7"/>
  <c r="N52" i="7" s="1"/>
  <c r="M53" i="7"/>
  <c r="L53" i="7"/>
  <c r="L52" i="7" s="1"/>
  <c r="K53" i="7"/>
  <c r="J53" i="7"/>
  <c r="J52" i="7" s="1"/>
  <c r="I53" i="7"/>
  <c r="H53" i="7"/>
  <c r="H52" i="7" s="1"/>
  <c r="G53" i="7"/>
  <c r="G52" i="7" s="1"/>
  <c r="F53" i="7"/>
  <c r="F52" i="7" s="1"/>
  <c r="O51" i="7"/>
  <c r="N51" i="7"/>
  <c r="N50" i="7" s="1"/>
  <c r="M51" i="7"/>
  <c r="M50" i="7" s="1"/>
  <c r="L51" i="7"/>
  <c r="L50" i="7" s="1"/>
  <c r="K51" i="7"/>
  <c r="J51" i="7"/>
  <c r="J50" i="7" s="1"/>
  <c r="I51" i="7"/>
  <c r="I50" i="7" s="1"/>
  <c r="H51" i="7"/>
  <c r="H50" i="7" s="1"/>
  <c r="G51" i="7"/>
  <c r="F51" i="7"/>
  <c r="F50" i="7" s="1"/>
  <c r="O49" i="7"/>
  <c r="N49" i="7"/>
  <c r="N48" i="7" s="1"/>
  <c r="M49" i="7"/>
  <c r="L49" i="7"/>
  <c r="L48" i="7" s="1"/>
  <c r="K49" i="7"/>
  <c r="J49" i="7"/>
  <c r="J48" i="7" s="1"/>
  <c r="I49" i="7"/>
  <c r="H49" i="7"/>
  <c r="H48" i="7" s="1"/>
  <c r="G49" i="7"/>
  <c r="G48" i="7" s="1"/>
  <c r="F49" i="7"/>
  <c r="F48" i="7" s="1"/>
  <c r="O47" i="7"/>
  <c r="N47" i="7"/>
  <c r="N46" i="7" s="1"/>
  <c r="M47" i="7"/>
  <c r="M46" i="7" s="1"/>
  <c r="L47" i="7"/>
  <c r="L46" i="7" s="1"/>
  <c r="K47" i="7"/>
  <c r="J47" i="7"/>
  <c r="J46" i="7" s="1"/>
  <c r="I47" i="7"/>
  <c r="I46" i="7" s="1"/>
  <c r="H47" i="7"/>
  <c r="H46" i="7" s="1"/>
  <c r="G47" i="7"/>
  <c r="F47" i="7"/>
  <c r="F46" i="7" s="1"/>
  <c r="O45" i="7"/>
  <c r="N45" i="7"/>
  <c r="M45" i="7"/>
  <c r="L45" i="7"/>
  <c r="K45" i="7"/>
  <c r="J45" i="7"/>
  <c r="I45" i="7"/>
  <c r="H45" i="7"/>
  <c r="G45" i="7"/>
  <c r="F45" i="7"/>
  <c r="O44" i="7"/>
  <c r="N44" i="7"/>
  <c r="M44" i="7"/>
  <c r="L44" i="7"/>
  <c r="K44" i="7"/>
  <c r="J44" i="7"/>
  <c r="I44" i="7"/>
  <c r="H44" i="7"/>
  <c r="G44" i="7"/>
  <c r="F44" i="7"/>
  <c r="O43" i="7"/>
  <c r="N43" i="7"/>
  <c r="M43" i="7"/>
  <c r="L43" i="7"/>
  <c r="K43" i="7"/>
  <c r="J43" i="7"/>
  <c r="I43" i="7"/>
  <c r="H43" i="7"/>
  <c r="G43" i="7"/>
  <c r="F43" i="7"/>
  <c r="O40" i="7"/>
  <c r="N40" i="7"/>
  <c r="N39" i="7" s="1"/>
  <c r="N37" i="7" s="1"/>
  <c r="M40" i="7"/>
  <c r="M39" i="7" s="1"/>
  <c r="M37" i="7" s="1"/>
  <c r="L40" i="7"/>
  <c r="L39" i="7" s="1"/>
  <c r="L37" i="7" s="1"/>
  <c r="K40" i="7"/>
  <c r="J40" i="7"/>
  <c r="J39" i="7" s="1"/>
  <c r="J37" i="7" s="1"/>
  <c r="I40" i="7"/>
  <c r="I39" i="7" s="1"/>
  <c r="I37" i="7" s="1"/>
  <c r="H40" i="7"/>
  <c r="H39" i="7" s="1"/>
  <c r="H37" i="7" s="1"/>
  <c r="G40" i="7"/>
  <c r="F40" i="7"/>
  <c r="F39" i="7" s="1"/>
  <c r="O35" i="7"/>
  <c r="N35" i="7"/>
  <c r="M35" i="7"/>
  <c r="L35" i="7"/>
  <c r="K35" i="7"/>
  <c r="J35" i="7"/>
  <c r="I35" i="7"/>
  <c r="H35" i="7"/>
  <c r="G35" i="7"/>
  <c r="F35" i="7"/>
  <c r="O34" i="7"/>
  <c r="N34" i="7"/>
  <c r="M34" i="7"/>
  <c r="L34" i="7"/>
  <c r="K34" i="7"/>
  <c r="J34" i="7"/>
  <c r="I34" i="7"/>
  <c r="H34" i="7"/>
  <c r="G34" i="7"/>
  <c r="F34" i="7"/>
  <c r="O33" i="7"/>
  <c r="N33" i="7"/>
  <c r="M33" i="7"/>
  <c r="L33" i="7"/>
  <c r="K33" i="7"/>
  <c r="J33" i="7"/>
  <c r="I33" i="7"/>
  <c r="H33" i="7"/>
  <c r="G33" i="7"/>
  <c r="F33" i="7"/>
  <c r="N31" i="7"/>
  <c r="N30" i="7" s="1"/>
  <c r="M31" i="7"/>
  <c r="M30" i="7" s="1"/>
  <c r="L31" i="7"/>
  <c r="L30" i="7" s="1"/>
  <c r="K31" i="7"/>
  <c r="K30" i="7" s="1"/>
  <c r="J31" i="7"/>
  <c r="J30" i="7" s="1"/>
  <c r="I31" i="7"/>
  <c r="H31" i="7"/>
  <c r="H30" i="7" s="1"/>
  <c r="G31" i="7"/>
  <c r="G30" i="7" s="1"/>
  <c r="F31" i="7"/>
  <c r="F30" i="7" s="1"/>
  <c r="O29" i="7"/>
  <c r="N29" i="7"/>
  <c r="M29" i="7"/>
  <c r="L29" i="7"/>
  <c r="K29" i="7"/>
  <c r="J29" i="7"/>
  <c r="I29" i="7"/>
  <c r="H29" i="7"/>
  <c r="G29" i="7"/>
  <c r="F29" i="7"/>
  <c r="O28" i="7"/>
  <c r="N28" i="7"/>
  <c r="M28" i="7"/>
  <c r="L28" i="7"/>
  <c r="K28" i="7"/>
  <c r="J28" i="7"/>
  <c r="I28" i="7"/>
  <c r="H28" i="7"/>
  <c r="G28" i="7"/>
  <c r="F28" i="7"/>
  <c r="O27" i="7"/>
  <c r="N27" i="7"/>
  <c r="M27" i="7"/>
  <c r="L27" i="7"/>
  <c r="K27" i="7"/>
  <c r="J27" i="7"/>
  <c r="I27" i="7"/>
  <c r="H27" i="7"/>
  <c r="G27" i="7"/>
  <c r="F27" i="7"/>
  <c r="O24" i="7"/>
  <c r="N24" i="7"/>
  <c r="N23" i="7" s="1"/>
  <c r="M24" i="7"/>
  <c r="L24" i="7"/>
  <c r="L23" i="7" s="1"/>
  <c r="K24" i="7"/>
  <c r="K23" i="7" s="1"/>
  <c r="J24" i="7"/>
  <c r="J23" i="7" s="1"/>
  <c r="I24" i="7"/>
  <c r="I23" i="7" s="1"/>
  <c r="H24" i="7"/>
  <c r="H23" i="7" s="1"/>
  <c r="G24" i="7"/>
  <c r="G23" i="7" s="1"/>
  <c r="F24" i="7"/>
  <c r="F23" i="7" s="1"/>
  <c r="O22" i="7"/>
  <c r="N22" i="7"/>
  <c r="M22" i="7"/>
  <c r="M21" i="7" s="1"/>
  <c r="L22" i="7"/>
  <c r="L21" i="7" s="1"/>
  <c r="K22" i="7"/>
  <c r="K21" i="7" s="1"/>
  <c r="J22" i="7"/>
  <c r="I22" i="7"/>
  <c r="I21" i="7" s="1"/>
  <c r="H22" i="7"/>
  <c r="H21" i="7" s="1"/>
  <c r="G22" i="7"/>
  <c r="G21" i="7" s="1"/>
  <c r="F22" i="7"/>
  <c r="F21" i="7" s="1"/>
  <c r="O20" i="7"/>
  <c r="N20" i="7"/>
  <c r="N19" i="7" s="1"/>
  <c r="M20" i="7"/>
  <c r="M19" i="7" s="1"/>
  <c r="L20" i="7"/>
  <c r="L19" i="7" s="1"/>
  <c r="K20" i="7"/>
  <c r="K19" i="7" s="1"/>
  <c r="J20" i="7"/>
  <c r="J19" i="7" s="1"/>
  <c r="I20" i="7"/>
  <c r="I19" i="7" s="1"/>
  <c r="H20" i="7"/>
  <c r="H19" i="7" s="1"/>
  <c r="G20" i="7"/>
  <c r="G19" i="7" s="1"/>
  <c r="F20" i="7"/>
  <c r="F19" i="7" s="1"/>
  <c r="O18" i="7"/>
  <c r="M18" i="7"/>
  <c r="L18" i="7"/>
  <c r="K18" i="7"/>
  <c r="J18" i="7"/>
  <c r="I18" i="7"/>
  <c r="H18" i="7"/>
  <c r="G18" i="7"/>
  <c r="F18" i="7"/>
  <c r="O17" i="7"/>
  <c r="N17" i="7"/>
  <c r="M17" i="7"/>
  <c r="L17" i="7"/>
  <c r="K17" i="7"/>
  <c r="J17" i="7"/>
  <c r="I17" i="7"/>
  <c r="H17" i="7"/>
  <c r="G17" i="7"/>
  <c r="F17" i="7"/>
  <c r="O15" i="7"/>
  <c r="N15" i="7"/>
  <c r="M15" i="7"/>
  <c r="L15" i="7"/>
  <c r="K15" i="7"/>
  <c r="J15" i="7"/>
  <c r="I15" i="7"/>
  <c r="H15" i="7"/>
  <c r="G15" i="7"/>
  <c r="F15" i="7"/>
  <c r="O14" i="7"/>
  <c r="N14" i="7"/>
  <c r="M14" i="7"/>
  <c r="L14" i="7"/>
  <c r="K14" i="7"/>
  <c r="J14" i="7"/>
  <c r="I14" i="7"/>
  <c r="H14" i="7"/>
  <c r="G14" i="7"/>
  <c r="F14" i="7"/>
  <c r="O12" i="7"/>
  <c r="N12" i="7"/>
  <c r="N11" i="7" s="1"/>
  <c r="M12" i="7"/>
  <c r="M11" i="7" s="1"/>
  <c r="L12" i="7"/>
  <c r="L11" i="7" s="1"/>
  <c r="K12" i="7"/>
  <c r="K11" i="7" s="1"/>
  <c r="J12" i="7"/>
  <c r="J11" i="7" s="1"/>
  <c r="I12" i="7"/>
  <c r="H12" i="7"/>
  <c r="H11" i="7" s="1"/>
  <c r="G12" i="7"/>
  <c r="F12" i="7"/>
  <c r="O10" i="7"/>
  <c r="N10" i="7"/>
  <c r="M10" i="7"/>
  <c r="L10" i="7"/>
  <c r="K10" i="7"/>
  <c r="J10" i="7"/>
  <c r="I10" i="7"/>
  <c r="H10" i="7"/>
  <c r="G10" i="7"/>
  <c r="F10" i="7"/>
  <c r="O9" i="7"/>
  <c r="N9" i="7"/>
  <c r="M9" i="7"/>
  <c r="L9" i="7"/>
  <c r="K9" i="7"/>
  <c r="J9" i="7"/>
  <c r="I9" i="7"/>
  <c r="H9" i="7"/>
  <c r="G9" i="7"/>
  <c r="F9" i="7"/>
  <c r="O8" i="7"/>
  <c r="N8" i="7"/>
  <c r="M8" i="7"/>
  <c r="L8" i="7"/>
  <c r="K8" i="7"/>
  <c r="J8" i="7"/>
  <c r="I8" i="7"/>
  <c r="H8" i="7"/>
  <c r="G8" i="7"/>
  <c r="F8" i="7"/>
  <c r="O7" i="7"/>
  <c r="N7" i="7"/>
  <c r="M7" i="7"/>
  <c r="L7" i="7"/>
  <c r="K7" i="7"/>
  <c r="J7" i="7"/>
  <c r="I7" i="7"/>
  <c r="H7" i="7"/>
  <c r="G7" i="7"/>
  <c r="F7" i="7"/>
  <c r="O6" i="7"/>
  <c r="N6" i="7"/>
  <c r="M6" i="7"/>
  <c r="L6" i="7"/>
  <c r="K6" i="7"/>
  <c r="J6" i="7"/>
  <c r="I6" i="7"/>
  <c r="H6" i="7"/>
  <c r="G6" i="7"/>
  <c r="F6" i="7"/>
  <c r="I202" i="7"/>
  <c r="F202" i="7"/>
  <c r="G200" i="7"/>
  <c r="M196" i="7"/>
  <c r="N187" i="7"/>
  <c r="G179" i="7"/>
  <c r="M168" i="7"/>
  <c r="J168" i="7"/>
  <c r="I168" i="7"/>
  <c r="M162" i="7"/>
  <c r="M160" i="7" s="1"/>
  <c r="I162" i="7"/>
  <c r="I160" i="7" s="1"/>
  <c r="N157" i="7"/>
  <c r="K157" i="7"/>
  <c r="J157" i="7"/>
  <c r="G157" i="7"/>
  <c r="M155" i="7"/>
  <c r="I155" i="7"/>
  <c r="K153" i="7"/>
  <c r="G153" i="7"/>
  <c r="F153" i="7"/>
  <c r="M151" i="7"/>
  <c r="I151" i="7"/>
  <c r="M144" i="7"/>
  <c r="M142" i="7" s="1"/>
  <c r="I144" i="7"/>
  <c r="I142" i="7" s="1"/>
  <c r="F144" i="7"/>
  <c r="M135" i="7"/>
  <c r="K135" i="7"/>
  <c r="I135" i="7"/>
  <c r="M128" i="7"/>
  <c r="L128" i="7"/>
  <c r="I128" i="7"/>
  <c r="H128" i="7"/>
  <c r="M126" i="7"/>
  <c r="K126" i="7"/>
  <c r="J126" i="7"/>
  <c r="G126" i="7"/>
  <c r="F126" i="7"/>
  <c r="G124" i="7"/>
  <c r="M121" i="7"/>
  <c r="K121" i="7"/>
  <c r="I121" i="7"/>
  <c r="H121" i="7"/>
  <c r="M118" i="7"/>
  <c r="L118" i="7"/>
  <c r="I118" i="7"/>
  <c r="H118" i="7"/>
  <c r="G118" i="7"/>
  <c r="N116" i="7"/>
  <c r="K116" i="7"/>
  <c r="J116" i="7"/>
  <c r="G116" i="7"/>
  <c r="F116" i="7"/>
  <c r="K110" i="7"/>
  <c r="M97" i="7"/>
  <c r="K97" i="7"/>
  <c r="G97" i="7"/>
  <c r="M95" i="7"/>
  <c r="I95" i="7"/>
  <c r="G95" i="7"/>
  <c r="I91" i="7"/>
  <c r="G91" i="7"/>
  <c r="I87" i="7"/>
  <c r="G87" i="7"/>
  <c r="K85" i="7"/>
  <c r="G85" i="7"/>
  <c r="K76" i="7"/>
  <c r="G76" i="7"/>
  <c r="M74" i="7"/>
  <c r="K74" i="7"/>
  <c r="I74" i="7"/>
  <c r="H74" i="7"/>
  <c r="G74" i="7"/>
  <c r="N63" i="7"/>
  <c r="M63" i="7"/>
  <c r="K63" i="7"/>
  <c r="I63" i="7"/>
  <c r="K57" i="7"/>
  <c r="K55" i="7" s="1"/>
  <c r="I57" i="7"/>
  <c r="I55" i="7" s="1"/>
  <c r="G57" i="7"/>
  <c r="G55" i="7" s="1"/>
  <c r="M52" i="7"/>
  <c r="K52" i="7"/>
  <c r="I52" i="7"/>
  <c r="K50" i="7"/>
  <c r="G50" i="7"/>
  <c r="M48" i="7"/>
  <c r="K48" i="7"/>
  <c r="I48" i="7"/>
  <c r="K46" i="7"/>
  <c r="G46" i="7"/>
  <c r="K39" i="7"/>
  <c r="K37" i="7" s="1"/>
  <c r="G39" i="7"/>
  <c r="G37" i="7" s="1"/>
  <c r="G32" i="7"/>
  <c r="I30" i="7"/>
  <c r="M23" i="7"/>
  <c r="N21" i="7"/>
  <c r="J21" i="7"/>
  <c r="I11" i="7"/>
  <c r="G11" i="7"/>
  <c r="F11" i="7"/>
  <c r="BK11" i="1"/>
  <c r="BL11" i="1"/>
  <c r="BM11" i="1"/>
  <c r="BN11" i="1"/>
  <c r="BT11" i="1" s="1"/>
  <c r="BO11" i="1"/>
  <c r="BP11" i="1"/>
  <c r="BQ11" i="1"/>
  <c r="BR11" i="1"/>
  <c r="BS11" i="1"/>
  <c r="M5" i="7"/>
  <c r="AW108" i="3"/>
  <c r="AQ108" i="3"/>
  <c r="AO108" i="3"/>
  <c r="AN108" i="3"/>
  <c r="AM108" i="3"/>
  <c r="AL108" i="3"/>
  <c r="AK108" i="3"/>
  <c r="AJ108" i="3"/>
  <c r="AI108" i="3"/>
  <c r="AH108" i="3"/>
  <c r="AG108" i="3"/>
  <c r="AF108" i="3"/>
  <c r="AE108" i="3"/>
  <c r="AD108" i="3"/>
  <c r="AC108" i="3"/>
  <c r="AB108" i="3"/>
  <c r="AA108" i="3"/>
  <c r="Z108" i="3"/>
  <c r="Y108" i="3"/>
  <c r="X108" i="3"/>
  <c r="W108" i="3"/>
  <c r="R108" i="3"/>
  <c r="Q108" i="3"/>
  <c r="P108" i="3"/>
  <c r="O108" i="3"/>
  <c r="N108" i="3"/>
  <c r="M108" i="3"/>
  <c r="L108" i="3"/>
  <c r="K108" i="3"/>
  <c r="J108" i="3"/>
  <c r="AW107" i="3"/>
  <c r="AQ107" i="3"/>
  <c r="AO107" i="3"/>
  <c r="AN107" i="3"/>
  <c r="AM107" i="3"/>
  <c r="AL107" i="3"/>
  <c r="AK107" i="3"/>
  <c r="AJ107" i="3"/>
  <c r="AI107" i="3"/>
  <c r="AH107" i="3"/>
  <c r="AG107" i="3"/>
  <c r="AF107" i="3"/>
  <c r="AE107" i="3"/>
  <c r="AD107" i="3"/>
  <c r="AC107" i="3"/>
  <c r="AB107" i="3"/>
  <c r="AA107" i="3"/>
  <c r="Z107" i="3"/>
  <c r="Y107" i="3"/>
  <c r="X107" i="3"/>
  <c r="W107" i="3"/>
  <c r="R107" i="3"/>
  <c r="Q107" i="3"/>
  <c r="P107" i="3"/>
  <c r="O107" i="3"/>
  <c r="N107" i="3"/>
  <c r="M107" i="3"/>
  <c r="L107" i="3"/>
  <c r="K107" i="3"/>
  <c r="J107" i="3"/>
  <c r="AW106" i="3"/>
  <c r="AQ106" i="3"/>
  <c r="AO106" i="3"/>
  <c r="AN106" i="3"/>
  <c r="AM106" i="3"/>
  <c r="AL106" i="3"/>
  <c r="AK106" i="3"/>
  <c r="AJ106" i="3"/>
  <c r="AI106" i="3"/>
  <c r="AH106" i="3"/>
  <c r="AG106" i="3"/>
  <c r="AF106" i="3"/>
  <c r="AE106" i="3"/>
  <c r="AD106" i="3"/>
  <c r="AC106" i="3"/>
  <c r="AB106" i="3"/>
  <c r="AA106" i="3"/>
  <c r="Z106" i="3"/>
  <c r="Y106" i="3"/>
  <c r="X106" i="3"/>
  <c r="W106" i="3"/>
  <c r="R106" i="3"/>
  <c r="Q106" i="3"/>
  <c r="P106" i="3"/>
  <c r="O106" i="3"/>
  <c r="N106" i="3"/>
  <c r="M106" i="3"/>
  <c r="L106" i="3"/>
  <c r="K106" i="3"/>
  <c r="J106" i="3"/>
  <c r="AW105" i="3"/>
  <c r="AQ105" i="3"/>
  <c r="AO105" i="3"/>
  <c r="AN105" i="3"/>
  <c r="AM105" i="3"/>
  <c r="AL105" i="3"/>
  <c r="AK105" i="3"/>
  <c r="AJ105" i="3"/>
  <c r="AI105" i="3"/>
  <c r="AH105" i="3"/>
  <c r="AG105" i="3"/>
  <c r="AF105" i="3"/>
  <c r="AE105" i="3"/>
  <c r="AD105" i="3"/>
  <c r="AC105" i="3"/>
  <c r="AB105" i="3"/>
  <c r="AA105" i="3"/>
  <c r="Z105" i="3"/>
  <c r="Y105" i="3"/>
  <c r="X105" i="3"/>
  <c r="W105" i="3"/>
  <c r="R105" i="3"/>
  <c r="Q105" i="3"/>
  <c r="P105" i="3"/>
  <c r="O105" i="3"/>
  <c r="N105" i="3"/>
  <c r="M105" i="3"/>
  <c r="L105" i="3"/>
  <c r="K105" i="3"/>
  <c r="J105" i="3"/>
  <c r="AW104" i="3"/>
  <c r="AQ104" i="3"/>
  <c r="AO104" i="3"/>
  <c r="K113" i="3" s="1"/>
  <c r="AN104" i="3"/>
  <c r="AM104" i="3"/>
  <c r="AL104" i="3"/>
  <c r="AK104" i="3"/>
  <c r="AJ104" i="3"/>
  <c r="AI104" i="3"/>
  <c r="AH104" i="3"/>
  <c r="AG104" i="3"/>
  <c r="AF104" i="3"/>
  <c r="AE104" i="3"/>
  <c r="AD104" i="3"/>
  <c r="AC104" i="3"/>
  <c r="AB104" i="3"/>
  <c r="AA104" i="3"/>
  <c r="Z104" i="3"/>
  <c r="Y104" i="3"/>
  <c r="X104" i="3"/>
  <c r="W104" i="3"/>
  <c r="R104" i="3"/>
  <c r="Q104" i="3"/>
  <c r="P104" i="3"/>
  <c r="O104" i="3"/>
  <c r="N104" i="3"/>
  <c r="M104" i="3"/>
  <c r="L104" i="3"/>
  <c r="K104" i="3"/>
  <c r="J104" i="3"/>
  <c r="I104" i="3"/>
  <c r="I108" i="3"/>
  <c r="I107" i="3"/>
  <c r="I106" i="3"/>
  <c r="I105" i="3"/>
  <c r="AW100" i="3"/>
  <c r="AO100" i="3"/>
  <c r="AQ100" i="3"/>
  <c r="BZ14" i="10" l="1"/>
  <c r="BY13" i="10"/>
  <c r="BY4" i="10" s="1"/>
  <c r="CG13" i="10"/>
  <c r="BL18" i="10"/>
  <c r="BK16" i="10"/>
  <c r="M87" i="7"/>
  <c r="M91" i="7"/>
  <c r="K91" i="7"/>
  <c r="G110" i="7"/>
  <c r="G109" i="7" s="1"/>
  <c r="I109" i="3"/>
  <c r="M109" i="3"/>
  <c r="Q109" i="3"/>
  <c r="Y109" i="3"/>
  <c r="AC109" i="3"/>
  <c r="AG109" i="3"/>
  <c r="AK109" i="3"/>
  <c r="K115" i="3"/>
  <c r="AO113" i="3"/>
  <c r="L115" i="3" s="1"/>
  <c r="K117" i="3"/>
  <c r="AO115" i="3"/>
  <c r="L117" i="3" s="1"/>
  <c r="I115" i="3"/>
  <c r="M115" i="3" s="1"/>
  <c r="R113" i="3"/>
  <c r="J115" i="3" s="1"/>
  <c r="G26" i="7"/>
  <c r="G25" i="7" s="1"/>
  <c r="K26" i="7"/>
  <c r="I114" i="3"/>
  <c r="R112" i="3"/>
  <c r="J114" i="3" s="1"/>
  <c r="I116" i="3"/>
  <c r="M116" i="3" s="1"/>
  <c r="R114" i="3"/>
  <c r="J116" i="3" s="1"/>
  <c r="R111" i="3"/>
  <c r="J113" i="3" s="1"/>
  <c r="I113" i="3"/>
  <c r="M113" i="3" s="1"/>
  <c r="AQ109" i="3"/>
  <c r="I117" i="3"/>
  <c r="R115" i="3"/>
  <c r="J117" i="3" s="1"/>
  <c r="K109" i="3"/>
  <c r="O109" i="3"/>
  <c r="W109" i="3"/>
  <c r="AA109" i="3"/>
  <c r="AE109" i="3"/>
  <c r="AI109" i="3"/>
  <c r="AM109" i="3"/>
  <c r="AW109" i="3"/>
  <c r="K114" i="3"/>
  <c r="AO112" i="3"/>
  <c r="L114" i="3" s="1"/>
  <c r="K116" i="3"/>
  <c r="AO114" i="3"/>
  <c r="L116" i="3" s="1"/>
  <c r="I5" i="7"/>
  <c r="G5" i="7"/>
  <c r="G4" i="7" s="1"/>
  <c r="K5" i="7"/>
  <c r="F5" i="7"/>
  <c r="F4" i="7" s="1"/>
  <c r="Z109" i="3"/>
  <c r="AD109" i="3"/>
  <c r="X109" i="3"/>
  <c r="AB109" i="3"/>
  <c r="AO109" i="3"/>
  <c r="AO111" i="3"/>
  <c r="L113" i="3" s="1"/>
  <c r="AH109" i="3"/>
  <c r="AL109" i="3"/>
  <c r="AF109" i="3"/>
  <c r="AN109" i="3"/>
  <c r="AJ109" i="3"/>
  <c r="AE111" i="3"/>
  <c r="CF65" i="10"/>
  <c r="CH14" i="10"/>
  <c r="CA9" i="10"/>
  <c r="CA5" i="10" s="1"/>
  <c r="CI9" i="10"/>
  <c r="CI5" i="10" s="1"/>
  <c r="CE54" i="10"/>
  <c r="CN54" i="10" s="1"/>
  <c r="BM14" i="10"/>
  <c r="BM13" i="10" s="1"/>
  <c r="BO9" i="10"/>
  <c r="BN5" i="10"/>
  <c r="CH68" i="10"/>
  <c r="BZ68" i="10"/>
  <c r="BL67" i="10"/>
  <c r="BK66" i="10"/>
  <c r="BK65" i="10" s="1"/>
  <c r="CH93" i="10"/>
  <c r="BZ93" i="10"/>
  <c r="BY91" i="10"/>
  <c r="CE65" i="10"/>
  <c r="CI14" i="10"/>
  <c r="CA14" i="10"/>
  <c r="CG67" i="10"/>
  <c r="CG66" i="10" s="1"/>
  <c r="CG65" i="10" s="1"/>
  <c r="BY67" i="10"/>
  <c r="BX66" i="10"/>
  <c r="BX65" i="10" s="1"/>
  <c r="CH15" i="10"/>
  <c r="BZ15" i="10"/>
  <c r="CH18" i="10"/>
  <c r="CH16" i="10" s="1"/>
  <c r="BZ18" i="10"/>
  <c r="BZ16" i="10" s="1"/>
  <c r="CN41" i="10"/>
  <c r="CE36" i="10"/>
  <c r="CN36" i="10" s="1"/>
  <c r="CG4" i="10"/>
  <c r="J109" i="3"/>
  <c r="N109" i="3"/>
  <c r="R109" i="3"/>
  <c r="L109" i="3"/>
  <c r="P109" i="3"/>
  <c r="J5" i="7"/>
  <c r="J4" i="7" s="1"/>
  <c r="N5" i="7"/>
  <c r="H5" i="7"/>
  <c r="H4" i="7" s="1"/>
  <c r="L5" i="7"/>
  <c r="H26" i="7"/>
  <c r="H25" i="7" s="1"/>
  <c r="L26" i="7"/>
  <c r="F26" i="7"/>
  <c r="F25" i="7" s="1"/>
  <c r="J26" i="7"/>
  <c r="N26" i="7"/>
  <c r="N25" i="7" s="1"/>
  <c r="H32" i="7"/>
  <c r="L32" i="7"/>
  <c r="F32" i="7"/>
  <c r="J32" i="7"/>
  <c r="N32" i="7"/>
  <c r="H42" i="7"/>
  <c r="H41" i="7" s="1"/>
  <c r="H36" i="7" s="1"/>
  <c r="L42" i="7"/>
  <c r="F42" i="7"/>
  <c r="F41" i="7" s="1"/>
  <c r="J42" i="7"/>
  <c r="N42" i="7"/>
  <c r="N41" i="7" s="1"/>
  <c r="N36" i="7" s="1"/>
  <c r="F66" i="7"/>
  <c r="J66" i="7"/>
  <c r="N66" i="7"/>
  <c r="H66" i="7"/>
  <c r="L66" i="7"/>
  <c r="H70" i="7"/>
  <c r="L70" i="7"/>
  <c r="F70" i="7"/>
  <c r="J87" i="7"/>
  <c r="H91" i="7"/>
  <c r="L91" i="7"/>
  <c r="F91" i="7"/>
  <c r="J91" i="7"/>
  <c r="N91" i="7"/>
  <c r="H131" i="7"/>
  <c r="L131" i="7"/>
  <c r="L130" i="7" s="1"/>
  <c r="F131" i="7"/>
  <c r="J131" i="7"/>
  <c r="N131" i="7"/>
  <c r="H137" i="7"/>
  <c r="L137" i="7"/>
  <c r="F137" i="7"/>
  <c r="J137" i="7"/>
  <c r="N137" i="7"/>
  <c r="H147" i="7"/>
  <c r="L147" i="7"/>
  <c r="L146" i="7" s="1"/>
  <c r="L141" i="7" s="1"/>
  <c r="F147" i="7"/>
  <c r="J147" i="7"/>
  <c r="J146" i="7" s="1"/>
  <c r="J141" i="7" s="1"/>
  <c r="N147" i="7"/>
  <c r="N146" i="7" s="1"/>
  <c r="N141" i="7" s="1"/>
  <c r="H175" i="7"/>
  <c r="L175" i="7"/>
  <c r="F175" i="7"/>
  <c r="J175" i="7"/>
  <c r="N175" i="7"/>
  <c r="F187" i="7"/>
  <c r="J187" i="7"/>
  <c r="H192" i="7"/>
  <c r="L192" i="7"/>
  <c r="H196" i="7"/>
  <c r="L196" i="7"/>
  <c r="F196" i="7"/>
  <c r="J196" i="7"/>
  <c r="N196" i="7"/>
  <c r="M137" i="7"/>
  <c r="G137" i="7"/>
  <c r="I147" i="7"/>
  <c r="K147" i="7"/>
  <c r="G171" i="7"/>
  <c r="K171" i="7"/>
  <c r="M175" i="7"/>
  <c r="K175" i="7"/>
  <c r="M187" i="7"/>
  <c r="K187" i="7"/>
  <c r="K192" i="7"/>
  <c r="I196" i="7"/>
  <c r="K196" i="7"/>
  <c r="O196" i="7" s="1"/>
  <c r="K32" i="7"/>
  <c r="K25" i="7" s="1"/>
  <c r="I32" i="7"/>
  <c r="M32" i="7"/>
  <c r="G42" i="7"/>
  <c r="K42" i="7"/>
  <c r="K41" i="7" s="1"/>
  <c r="K36" i="7" s="1"/>
  <c r="I42" i="7"/>
  <c r="I41" i="7" s="1"/>
  <c r="I36" i="7" s="1"/>
  <c r="M42" i="7"/>
  <c r="I26" i="7"/>
  <c r="I25" i="7" s="1"/>
  <c r="M26" i="7"/>
  <c r="F82" i="7"/>
  <c r="J82" i="7"/>
  <c r="N82" i="7"/>
  <c r="I110" i="7"/>
  <c r="I109" i="7" s="1"/>
  <c r="M110" i="7"/>
  <c r="M109" i="7" s="1"/>
  <c r="G131" i="7"/>
  <c r="K131" i="7"/>
  <c r="K130" i="7" s="1"/>
  <c r="I131" i="7"/>
  <c r="I130" i="7" s="1"/>
  <c r="I171" i="7"/>
  <c r="M171" i="7"/>
  <c r="M4" i="7"/>
  <c r="H82" i="7"/>
  <c r="L82" i="7"/>
  <c r="O121" i="7"/>
  <c r="K146" i="7"/>
  <c r="K141" i="7" s="1"/>
  <c r="H87" i="7"/>
  <c r="L87" i="7"/>
  <c r="F87" i="7"/>
  <c r="N87" i="7"/>
  <c r="H110" i="7"/>
  <c r="H109" i="7" s="1"/>
  <c r="L110" i="7"/>
  <c r="L109" i="7" s="1"/>
  <c r="F110" i="7"/>
  <c r="J110" i="7"/>
  <c r="J109" i="7" s="1"/>
  <c r="N110" i="7"/>
  <c r="N109" i="7" s="1"/>
  <c r="H171" i="7"/>
  <c r="L171" i="7"/>
  <c r="F171" i="7"/>
  <c r="J171" i="7"/>
  <c r="N171" i="7"/>
  <c r="H187" i="7"/>
  <c r="L187" i="7"/>
  <c r="F192" i="7"/>
  <c r="J192" i="7"/>
  <c r="N192" i="7"/>
  <c r="J70" i="7"/>
  <c r="N70" i="7"/>
  <c r="M131" i="7"/>
  <c r="O202" i="7"/>
  <c r="O200" i="7"/>
  <c r="O190" i="7"/>
  <c r="O181" i="7"/>
  <c r="O179" i="7"/>
  <c r="O168" i="7"/>
  <c r="O157" i="7"/>
  <c r="O155" i="7"/>
  <c r="M146" i="7"/>
  <c r="M141" i="7" s="1"/>
  <c r="I146" i="7"/>
  <c r="I141" i="7" s="1"/>
  <c r="O153" i="7"/>
  <c r="O151" i="7"/>
  <c r="G146" i="7"/>
  <c r="G141" i="7" s="1"/>
  <c r="H146" i="7"/>
  <c r="H141" i="7" s="1"/>
  <c r="F146" i="7"/>
  <c r="O144" i="7"/>
  <c r="F142" i="7"/>
  <c r="O142" i="7" s="1"/>
  <c r="H130" i="7"/>
  <c r="O135" i="7"/>
  <c r="O128" i="7"/>
  <c r="O126" i="7"/>
  <c r="O124" i="7"/>
  <c r="O118" i="7"/>
  <c r="K109" i="7"/>
  <c r="O116" i="7"/>
  <c r="O97" i="7"/>
  <c r="O95" i="7"/>
  <c r="O85" i="7"/>
  <c r="O76" i="7"/>
  <c r="O74" i="7"/>
  <c r="O63" i="7"/>
  <c r="O57" i="7"/>
  <c r="O55" i="7"/>
  <c r="O52" i="7"/>
  <c r="O50" i="7"/>
  <c r="M41" i="7"/>
  <c r="M36" i="7" s="1"/>
  <c r="O48" i="7"/>
  <c r="O46" i="7"/>
  <c r="O39" i="7"/>
  <c r="F37" i="7"/>
  <c r="O37" i="7" s="1"/>
  <c r="O30" i="7"/>
  <c r="O23" i="7"/>
  <c r="O21" i="7"/>
  <c r="O19" i="7"/>
  <c r="N4" i="7"/>
  <c r="O11" i="7"/>
  <c r="I4" i="7"/>
  <c r="K4" i="7"/>
  <c r="O160" i="7"/>
  <c r="O162" i="7"/>
  <c r="J41" i="7"/>
  <c r="J36" i="7" s="1"/>
  <c r="L41" i="7"/>
  <c r="L36" i="7" s="1"/>
  <c r="L4" i="7"/>
  <c r="CH13" i="10" l="1"/>
  <c r="CH4" i="10" s="1"/>
  <c r="BM18" i="10"/>
  <c r="BL16" i="10"/>
  <c r="BL4" i="10" s="1"/>
  <c r="BK4" i="10"/>
  <c r="BZ13" i="10"/>
  <c r="BZ4" i="10" s="1"/>
  <c r="O66" i="7"/>
  <c r="J25" i="7"/>
  <c r="F130" i="7"/>
  <c r="O5" i="7"/>
  <c r="G130" i="7"/>
  <c r="M114" i="3"/>
  <c r="O147" i="7"/>
  <c r="J130" i="7"/>
  <c r="R116" i="3"/>
  <c r="J118" i="3" s="1"/>
  <c r="I118" i="3"/>
  <c r="M117" i="3"/>
  <c r="AO116" i="3"/>
  <c r="L118" i="3" s="1"/>
  <c r="K118" i="3"/>
  <c r="F36" i="7"/>
  <c r="N130" i="7"/>
  <c r="O91" i="7"/>
  <c r="L25" i="7"/>
  <c r="O26" i="7"/>
  <c r="O32" i="7"/>
  <c r="CJ9" i="10"/>
  <c r="CJ5" i="10" s="1"/>
  <c r="CB9" i="10"/>
  <c r="CK9" i="10" s="1"/>
  <c r="CK5" i="10" s="1"/>
  <c r="BN14" i="10"/>
  <c r="BN13" i="10" s="1"/>
  <c r="BP9" i="10"/>
  <c r="BO5" i="10"/>
  <c r="CB5" i="10"/>
  <c r="CI93" i="10"/>
  <c r="CI91" i="10" s="1"/>
  <c r="CA93" i="10"/>
  <c r="BZ91" i="10"/>
  <c r="BM67" i="10"/>
  <c r="BL66" i="10"/>
  <c r="BL65" i="10" s="1"/>
  <c r="CI18" i="10"/>
  <c r="CI16" i="10" s="1"/>
  <c r="CA18" i="10"/>
  <c r="CA16" i="10" s="1"/>
  <c r="CI15" i="10"/>
  <c r="CI13" i="10" s="1"/>
  <c r="CA15" i="10"/>
  <c r="CA13" i="10" s="1"/>
  <c r="CA4" i="10" s="1"/>
  <c r="CH91" i="10"/>
  <c r="CI68" i="10"/>
  <c r="CA68" i="10"/>
  <c r="CJ14" i="10"/>
  <c r="CB14" i="10"/>
  <c r="CH67" i="10"/>
  <c r="BZ67" i="10"/>
  <c r="BY66" i="10"/>
  <c r="BY65" i="10" s="1"/>
  <c r="M25" i="7"/>
  <c r="O42" i="7"/>
  <c r="O175" i="7"/>
  <c r="O137" i="7"/>
  <c r="G41" i="7"/>
  <c r="G36" i="7" s="1"/>
  <c r="O187" i="7"/>
  <c r="O110" i="7"/>
  <c r="O82" i="7"/>
  <c r="O70" i="7"/>
  <c r="O192" i="7"/>
  <c r="F109" i="7"/>
  <c r="O109" i="7" s="1"/>
  <c r="O131" i="7"/>
  <c r="O171" i="7"/>
  <c r="O87" i="7"/>
  <c r="M130" i="7"/>
  <c r="O146" i="7"/>
  <c r="F141" i="7"/>
  <c r="O141" i="7" s="1"/>
  <c r="O4" i="7"/>
  <c r="BN18" i="10" l="1"/>
  <c r="BM16" i="10"/>
  <c r="BM4" i="10" s="1"/>
  <c r="O25" i="7"/>
  <c r="O130" i="7"/>
  <c r="M118" i="3"/>
  <c r="M119" i="3"/>
  <c r="O41" i="7"/>
  <c r="CC9" i="10"/>
  <c r="CC5" i="10" s="1"/>
  <c r="BO14" i="10"/>
  <c r="BO13" i="10" s="1"/>
  <c r="BP5" i="10"/>
  <c r="BQ5" i="10" s="1"/>
  <c r="BQ9" i="10"/>
  <c r="CK14" i="10"/>
  <c r="CC14" i="10"/>
  <c r="CJ93" i="10"/>
  <c r="CJ91" i="10" s="1"/>
  <c r="CB93" i="10"/>
  <c r="CA91" i="10"/>
  <c r="CI67" i="10"/>
  <c r="CI66" i="10" s="1"/>
  <c r="CI65" i="10" s="1"/>
  <c r="CA67" i="10"/>
  <c r="BZ66" i="10"/>
  <c r="BZ65" i="10" s="1"/>
  <c r="CH66" i="10"/>
  <c r="CJ15" i="10"/>
  <c r="CJ13" i="10" s="1"/>
  <c r="CJ4" i="10" s="1"/>
  <c r="CB15" i="10"/>
  <c r="CB13" i="10" s="1"/>
  <c r="CB4" i="10" s="1"/>
  <c r="CI4" i="10"/>
  <c r="CJ68" i="10"/>
  <c r="CB68" i="10"/>
  <c r="CD9" i="10"/>
  <c r="CJ18" i="10"/>
  <c r="CJ16" i="10" s="1"/>
  <c r="CB18" i="10"/>
  <c r="CB16" i="10" s="1"/>
  <c r="BN67" i="10"/>
  <c r="BM66" i="10"/>
  <c r="O36" i="7"/>
  <c r="CL9" i="10" l="1"/>
  <c r="CL5" i="10" s="1"/>
  <c r="BO18" i="10"/>
  <c r="BN16" i="10"/>
  <c r="BN4" i="10" s="1"/>
  <c r="BP14" i="10"/>
  <c r="CK18" i="10"/>
  <c r="CK16" i="10" s="1"/>
  <c r="CC18" i="10"/>
  <c r="CC16" i="10" s="1"/>
  <c r="CK68" i="10"/>
  <c r="CC68" i="10"/>
  <c r="CK15" i="10"/>
  <c r="CK13" i="10" s="1"/>
  <c r="CK4" i="10" s="1"/>
  <c r="CC15" i="10"/>
  <c r="CC13" i="10" s="1"/>
  <c r="CC4" i="10" s="1"/>
  <c r="CL14" i="10"/>
  <c r="CD14" i="10"/>
  <c r="BM65" i="10"/>
  <c r="CJ67" i="10"/>
  <c r="CA66" i="10"/>
  <c r="CA65" i="10" s="1"/>
  <c r="CB67" i="10"/>
  <c r="CK93" i="10"/>
  <c r="CC93" i="10"/>
  <c r="CB91" i="10"/>
  <c r="BO67" i="10"/>
  <c r="BN66" i="10"/>
  <c r="BN65" i="10" s="1"/>
  <c r="CM9" i="10"/>
  <c r="CD5" i="10"/>
  <c r="CH65" i="10"/>
  <c r="U52" i="3"/>
  <c r="S52" i="3"/>
  <c r="U91" i="3"/>
  <c r="S91" i="3"/>
  <c r="U87" i="3"/>
  <c r="S87" i="3"/>
  <c r="U70" i="3"/>
  <c r="S70" i="3"/>
  <c r="U66" i="3"/>
  <c r="S66" i="3"/>
  <c r="U42" i="3"/>
  <c r="S42" i="3"/>
  <c r="U32" i="3"/>
  <c r="S32" i="3"/>
  <c r="U26" i="3"/>
  <c r="S26" i="3"/>
  <c r="U82" i="3"/>
  <c r="S82" i="3"/>
  <c r="U13" i="3"/>
  <c r="S13" i="3"/>
  <c r="BT62" i="1"/>
  <c r="BT31" i="1"/>
  <c r="R31" i="3"/>
  <c r="S30" i="3" s="1"/>
  <c r="U97" i="3"/>
  <c r="S97" i="3"/>
  <c r="U95" i="3"/>
  <c r="S95" i="3"/>
  <c r="U85" i="3"/>
  <c r="S85" i="3"/>
  <c r="U76" i="3"/>
  <c r="S76" i="3"/>
  <c r="U74" i="3"/>
  <c r="S74" i="3"/>
  <c r="U63" i="3"/>
  <c r="S63" i="3"/>
  <c r="U57" i="3"/>
  <c r="U55" i="3" s="1"/>
  <c r="S57" i="3"/>
  <c r="S55" i="3" s="1"/>
  <c r="U50" i="3"/>
  <c r="S50" i="3"/>
  <c r="U48" i="3"/>
  <c r="S48" i="3"/>
  <c r="U46" i="3"/>
  <c r="S46" i="3"/>
  <c r="U39" i="3"/>
  <c r="U37" i="3" s="1"/>
  <c r="S39" i="3"/>
  <c r="S37" i="3" s="1"/>
  <c r="U23" i="3"/>
  <c r="S23" i="3"/>
  <c r="U21" i="3"/>
  <c r="S21" i="3"/>
  <c r="U19" i="3"/>
  <c r="S19" i="3"/>
  <c r="U11" i="3"/>
  <c r="S11" i="3"/>
  <c r="BP13" i="10" l="1"/>
  <c r="BP4" i="10" s="1"/>
  <c r="BQ4" i="10" s="1"/>
  <c r="BP18" i="10"/>
  <c r="BP16" i="10" s="1"/>
  <c r="BO16" i="10"/>
  <c r="BO4" i="10" s="1"/>
  <c r="U41" i="3"/>
  <c r="U36" i="3" s="1"/>
  <c r="U106" i="3" s="1"/>
  <c r="S41" i="3"/>
  <c r="BQ14" i="10"/>
  <c r="CL93" i="10"/>
  <c r="CL91" i="10" s="1"/>
  <c r="CD93" i="10"/>
  <c r="CC91" i="10"/>
  <c r="CJ66" i="10"/>
  <c r="CK91" i="10"/>
  <c r="BP67" i="10"/>
  <c r="BO66" i="10"/>
  <c r="BO65" i="10" s="1"/>
  <c r="CK67" i="10"/>
  <c r="CK66" i="10" s="1"/>
  <c r="CC67" i="10"/>
  <c r="CB66" i="10"/>
  <c r="CB65" i="10" s="1"/>
  <c r="CM5" i="10"/>
  <c r="CN9" i="10"/>
  <c r="CV9" i="10" s="1"/>
  <c r="CV5" i="10" s="1"/>
  <c r="CD15" i="10"/>
  <c r="CM15" i="10" s="1"/>
  <c r="CL15" i="10"/>
  <c r="CL13" i="10" s="1"/>
  <c r="CD18" i="10"/>
  <c r="CL18" i="10"/>
  <c r="CL16" i="10" s="1"/>
  <c r="CM14" i="10"/>
  <c r="CM13" i="10" s="1"/>
  <c r="CL68" i="10"/>
  <c r="CD68" i="10"/>
  <c r="CM68" i="10" s="1"/>
  <c r="S25" i="3"/>
  <c r="S105" i="3" s="1"/>
  <c r="U30" i="3"/>
  <c r="U25" i="3" s="1"/>
  <c r="U105" i="3" s="1"/>
  <c r="O136" i="7"/>
  <c r="O31" i="7"/>
  <c r="S36" i="3"/>
  <c r="S106" i="3" s="1"/>
  <c r="U5" i="3"/>
  <c r="U4" i="3" s="1"/>
  <c r="U104" i="3" s="1"/>
  <c r="S5" i="3"/>
  <c r="S4" i="3" s="1"/>
  <c r="U80" i="3"/>
  <c r="S80" i="3"/>
  <c r="U79" i="3"/>
  <c r="S79" i="3"/>
  <c r="U61" i="3"/>
  <c r="S61" i="3"/>
  <c r="BV80" i="2"/>
  <c r="BT80" i="2"/>
  <c r="BV79" i="2"/>
  <c r="BT79" i="2"/>
  <c r="BV61" i="2"/>
  <c r="BT61" i="2"/>
  <c r="BQ13" i="10" l="1"/>
  <c r="CD13" i="10"/>
  <c r="BQ18" i="10"/>
  <c r="CL4" i="10"/>
  <c r="CM18" i="10"/>
  <c r="CM16" i="10" s="1"/>
  <c r="CN16" i="10" s="1"/>
  <c r="CD16" i="10"/>
  <c r="CD4" i="10" s="1"/>
  <c r="BQ16" i="10"/>
  <c r="CK65" i="10"/>
  <c r="CN18" i="10"/>
  <c r="CV18" i="10" s="1"/>
  <c r="CV16" i="10" s="1"/>
  <c r="CN15" i="10"/>
  <c r="CV15" i="10" s="1"/>
  <c r="BP66" i="10"/>
  <c r="BQ67" i="10"/>
  <c r="CN68" i="10"/>
  <c r="CV68" i="10" s="1"/>
  <c r="CL67" i="10"/>
  <c r="CL66" i="10" s="1"/>
  <c r="CL65" i="10" s="1"/>
  <c r="CD67" i="10"/>
  <c r="CC66" i="10"/>
  <c r="CC65" i="10" s="1"/>
  <c r="CJ65" i="10"/>
  <c r="CM93" i="10"/>
  <c r="CD91" i="10"/>
  <c r="CN5" i="10"/>
  <c r="CN13" i="10"/>
  <c r="CN14" i="10"/>
  <c r="CV14" i="10" s="1"/>
  <c r="M166" i="7"/>
  <c r="M165" i="7" s="1"/>
  <c r="M164" i="7" s="1"/>
  <c r="M159" i="7" s="1"/>
  <c r="I166" i="7"/>
  <c r="I165" i="7" s="1"/>
  <c r="I164" i="7" s="1"/>
  <c r="I159" i="7" s="1"/>
  <c r="L166" i="7"/>
  <c r="L165" i="7" s="1"/>
  <c r="L164" i="7" s="1"/>
  <c r="L159" i="7" s="1"/>
  <c r="H166" i="7"/>
  <c r="H165" i="7" s="1"/>
  <c r="H164" i="7" s="1"/>
  <c r="H159" i="7" s="1"/>
  <c r="O166" i="7"/>
  <c r="K166" i="7"/>
  <c r="K165" i="7" s="1"/>
  <c r="K164" i="7" s="1"/>
  <c r="K159" i="7" s="1"/>
  <c r="G166" i="7"/>
  <c r="G165" i="7" s="1"/>
  <c r="G164" i="7" s="1"/>
  <c r="G159" i="7" s="1"/>
  <c r="N166" i="7"/>
  <c r="N165" i="7" s="1"/>
  <c r="N164" i="7" s="1"/>
  <c r="N159" i="7" s="1"/>
  <c r="J166" i="7"/>
  <c r="J165" i="7" s="1"/>
  <c r="J164" i="7" s="1"/>
  <c r="J159" i="7" s="1"/>
  <c r="F166" i="7"/>
  <c r="F165" i="7" s="1"/>
  <c r="U60" i="3"/>
  <c r="U59" i="3" s="1"/>
  <c r="U54" i="3" s="1"/>
  <c r="U107" i="3" s="1"/>
  <c r="O79" i="7"/>
  <c r="K79" i="7"/>
  <c r="G79" i="7"/>
  <c r="N79" i="7"/>
  <c r="J79" i="7"/>
  <c r="F79" i="7"/>
  <c r="M79" i="7"/>
  <c r="I79" i="7"/>
  <c r="H79" i="7"/>
  <c r="L79" i="7"/>
  <c r="S78" i="3"/>
  <c r="S65" i="3" s="1"/>
  <c r="S108" i="3" s="1"/>
  <c r="S104" i="3"/>
  <c r="M185" i="7"/>
  <c r="I185" i="7"/>
  <c r="L185" i="7"/>
  <c r="H185" i="7"/>
  <c r="O185" i="7"/>
  <c r="K185" i="7"/>
  <c r="G185" i="7"/>
  <c r="J185" i="7"/>
  <c r="F185" i="7"/>
  <c r="N185" i="7"/>
  <c r="O184" i="7"/>
  <c r="K184" i="7"/>
  <c r="G184" i="7"/>
  <c r="N184" i="7"/>
  <c r="J184" i="7"/>
  <c r="F184" i="7"/>
  <c r="M184" i="7"/>
  <c r="M183" i="7" s="1"/>
  <c r="M170" i="7" s="1"/>
  <c r="I184" i="7"/>
  <c r="I183" i="7" s="1"/>
  <c r="I170" i="7" s="1"/>
  <c r="L184" i="7"/>
  <c r="L183" i="7" s="1"/>
  <c r="L170" i="7" s="1"/>
  <c r="H184" i="7"/>
  <c r="H183" i="7" s="1"/>
  <c r="H170" i="7" s="1"/>
  <c r="U78" i="3"/>
  <c r="U65" i="3" s="1"/>
  <c r="U108" i="3" s="1"/>
  <c r="M61" i="7"/>
  <c r="M60" i="7" s="1"/>
  <c r="M59" i="7" s="1"/>
  <c r="M54" i="7" s="1"/>
  <c r="I61" i="7"/>
  <c r="I60" i="7" s="1"/>
  <c r="I59" i="7" s="1"/>
  <c r="I54" i="7" s="1"/>
  <c r="L61" i="7"/>
  <c r="L60" i="7" s="1"/>
  <c r="L59" i="7" s="1"/>
  <c r="L54" i="7" s="1"/>
  <c r="H61" i="7"/>
  <c r="H60" i="7" s="1"/>
  <c r="H59" i="7" s="1"/>
  <c r="H54" i="7" s="1"/>
  <c r="O61" i="7"/>
  <c r="K61" i="7"/>
  <c r="K60" i="7" s="1"/>
  <c r="K59" i="7" s="1"/>
  <c r="K54" i="7" s="1"/>
  <c r="G61" i="7"/>
  <c r="G60" i="7" s="1"/>
  <c r="G59" i="7" s="1"/>
  <c r="G54" i="7" s="1"/>
  <c r="N61" i="7"/>
  <c r="N60" i="7" s="1"/>
  <c r="N59" i="7" s="1"/>
  <c r="N54" i="7" s="1"/>
  <c r="J61" i="7"/>
  <c r="J60" i="7" s="1"/>
  <c r="J59" i="7" s="1"/>
  <c r="J54" i="7" s="1"/>
  <c r="F61" i="7"/>
  <c r="F60" i="7" s="1"/>
  <c r="S60" i="3"/>
  <c r="S59" i="3" s="1"/>
  <c r="S54" i="3" s="1"/>
  <c r="S107" i="3" s="1"/>
  <c r="M80" i="7"/>
  <c r="I80" i="7"/>
  <c r="L80" i="7"/>
  <c r="H80" i="7"/>
  <c r="O80" i="7"/>
  <c r="K80" i="7"/>
  <c r="G80" i="7"/>
  <c r="N80" i="7"/>
  <c r="J80" i="7"/>
  <c r="F80" i="7"/>
  <c r="CV13" i="10" l="1"/>
  <c r="N183" i="7"/>
  <c r="N170" i="7" s="1"/>
  <c r="J183" i="7"/>
  <c r="J170" i="7" s="1"/>
  <c r="S109" i="3"/>
  <c r="U109" i="3"/>
  <c r="F183" i="7"/>
  <c r="F170" i="7" s="1"/>
  <c r="N78" i="7"/>
  <c r="N65" i="7" s="1"/>
  <c r="N101" i="7" s="1"/>
  <c r="CV4" i="10"/>
  <c r="CM4" i="10"/>
  <c r="CN4" i="10" s="1"/>
  <c r="CM91" i="10"/>
  <c r="CN91" i="10" s="1"/>
  <c r="CN93" i="10"/>
  <c r="CV93" i="10" s="1"/>
  <c r="CV91" i="10" s="1"/>
  <c r="CM67" i="10"/>
  <c r="CD66" i="10"/>
  <c r="CD65" i="10" s="1"/>
  <c r="BP65" i="10"/>
  <c r="BQ65" i="10" s="1"/>
  <c r="BQ66" i="10"/>
  <c r="I78" i="7"/>
  <c r="I65" i="7" s="1"/>
  <c r="L102" i="7"/>
  <c r="U100" i="3"/>
  <c r="M78" i="7"/>
  <c r="M65" i="7" s="1"/>
  <c r="M101" i="7" s="1"/>
  <c r="G78" i="7"/>
  <c r="G65" i="7" s="1"/>
  <c r="G101" i="7" s="1"/>
  <c r="F164" i="7"/>
  <c r="O165" i="7"/>
  <c r="I102" i="7"/>
  <c r="G183" i="7"/>
  <c r="G170" i="7" s="1"/>
  <c r="G102" i="7" s="1"/>
  <c r="L78" i="7"/>
  <c r="L65" i="7" s="1"/>
  <c r="L101" i="7" s="1"/>
  <c r="F78" i="7"/>
  <c r="K78" i="7"/>
  <c r="K65" i="7" s="1"/>
  <c r="K101" i="7" s="1"/>
  <c r="J102" i="7"/>
  <c r="M102" i="7"/>
  <c r="F59" i="7"/>
  <c r="O60" i="7"/>
  <c r="I101" i="7"/>
  <c r="K183" i="7"/>
  <c r="K170" i="7" s="1"/>
  <c r="K102" i="7" s="1"/>
  <c r="S100" i="3"/>
  <c r="H78" i="7"/>
  <c r="H65" i="7" s="1"/>
  <c r="H101" i="7" s="1"/>
  <c r="J78" i="7"/>
  <c r="J65" i="7" s="1"/>
  <c r="J101" i="7" s="1"/>
  <c r="J104" i="7" s="1"/>
  <c r="N102" i="7"/>
  <c r="H102" i="7"/>
  <c r="O183" i="7" l="1"/>
  <c r="G104" i="7"/>
  <c r="K104" i="7"/>
  <c r="L104" i="7"/>
  <c r="H104" i="7"/>
  <c r="M104" i="7"/>
  <c r="CM66" i="10"/>
  <c r="CN67" i="10"/>
  <c r="CV67" i="10" s="1"/>
  <c r="CV66" i="10" s="1"/>
  <c r="CV65" i="10" s="1"/>
  <c r="N104" i="7"/>
  <c r="I104" i="7"/>
  <c r="F65" i="7"/>
  <c r="O65" i="7" s="1"/>
  <c r="O78" i="7"/>
  <c r="F159" i="7"/>
  <c r="O164" i="7"/>
  <c r="O170" i="7"/>
  <c r="F54" i="7"/>
  <c r="O59" i="7"/>
  <c r="BW80" i="1"/>
  <c r="BU80" i="1"/>
  <c r="BW79" i="1"/>
  <c r="BU79" i="1"/>
  <c r="BW61" i="1"/>
  <c r="BU61" i="1"/>
  <c r="CM65" i="10" l="1"/>
  <c r="CN65" i="10" s="1"/>
  <c r="CN66" i="10"/>
  <c r="O54" i="7"/>
  <c r="F101" i="7"/>
  <c r="O101" i="7" s="1"/>
  <c r="O159" i="7"/>
  <c r="F102" i="7"/>
  <c r="CY56" i="2"/>
  <c r="CY38" i="2"/>
  <c r="CY15" i="2"/>
  <c r="CY7" i="2"/>
  <c r="CP98" i="2"/>
  <c r="CO98" i="2"/>
  <c r="CN98" i="2"/>
  <c r="CM98" i="2"/>
  <c r="CL98" i="2"/>
  <c r="CK98" i="2"/>
  <c r="CJ98" i="2"/>
  <c r="CI98" i="2"/>
  <c r="CF98" i="2"/>
  <c r="CE98" i="2"/>
  <c r="CD98" i="2"/>
  <c r="CC98" i="2"/>
  <c r="CB98" i="2"/>
  <c r="CA98" i="2"/>
  <c r="BZ98" i="2"/>
  <c r="BY98" i="2"/>
  <c r="BR98" i="2"/>
  <c r="BQ98" i="2"/>
  <c r="BP98" i="2"/>
  <c r="BO98" i="2"/>
  <c r="BN98" i="2"/>
  <c r="BM98" i="2"/>
  <c r="BL98" i="2"/>
  <c r="BK98" i="2"/>
  <c r="BJ98" i="2"/>
  <c r="BI98" i="2"/>
  <c r="CF96" i="2"/>
  <c r="CE96" i="2"/>
  <c r="CD96" i="2"/>
  <c r="CC96" i="2"/>
  <c r="CA96" i="2"/>
  <c r="BY96" i="2"/>
  <c r="BR96" i="2"/>
  <c r="BQ96" i="2"/>
  <c r="BP96" i="2"/>
  <c r="BO96" i="2"/>
  <c r="BN96" i="2"/>
  <c r="BM96" i="2"/>
  <c r="BL96" i="2"/>
  <c r="BK96" i="2"/>
  <c r="BJ96" i="2"/>
  <c r="BR94" i="2"/>
  <c r="BQ94" i="2"/>
  <c r="BP94" i="2"/>
  <c r="BO94" i="2"/>
  <c r="BN94" i="2"/>
  <c r="BM94" i="2"/>
  <c r="BL94" i="2"/>
  <c r="BK94" i="2"/>
  <c r="BJ94" i="2"/>
  <c r="BI94" i="2"/>
  <c r="BR93" i="2"/>
  <c r="BQ93" i="2"/>
  <c r="BP93" i="2"/>
  <c r="BO93" i="2"/>
  <c r="BN93" i="2"/>
  <c r="BM93" i="2"/>
  <c r="BL93" i="2"/>
  <c r="BK93" i="2"/>
  <c r="BJ93" i="2"/>
  <c r="BI93" i="2"/>
  <c r="BR92" i="2"/>
  <c r="BQ92" i="2"/>
  <c r="BP92" i="2"/>
  <c r="BO92" i="2"/>
  <c r="BN92" i="2"/>
  <c r="BM92" i="2"/>
  <c r="BL92" i="2"/>
  <c r="BK92" i="2"/>
  <c r="BJ92" i="2"/>
  <c r="BI92" i="2"/>
  <c r="BR90" i="2"/>
  <c r="BQ90" i="2"/>
  <c r="BP90" i="2"/>
  <c r="BO90" i="2"/>
  <c r="BN90" i="2"/>
  <c r="BM90" i="2"/>
  <c r="BL90" i="2"/>
  <c r="BK90" i="2"/>
  <c r="BJ90" i="2"/>
  <c r="BI90" i="2"/>
  <c r="CF89" i="2"/>
  <c r="CE89" i="2"/>
  <c r="CD89" i="2"/>
  <c r="CC89" i="2"/>
  <c r="CB89" i="2"/>
  <c r="CA89" i="2"/>
  <c r="BR89" i="2"/>
  <c r="BQ89" i="2"/>
  <c r="BP89" i="2"/>
  <c r="BO89" i="2"/>
  <c r="BN89" i="2"/>
  <c r="BM89" i="2"/>
  <c r="BL89" i="2"/>
  <c r="BK89" i="2"/>
  <c r="BJ89" i="2"/>
  <c r="BI89" i="2"/>
  <c r="CF88" i="2"/>
  <c r="CE88" i="2"/>
  <c r="CD88" i="2"/>
  <c r="CC88" i="2"/>
  <c r="CB88" i="2"/>
  <c r="CA88" i="2"/>
  <c r="BZ88" i="2"/>
  <c r="BY88" i="2"/>
  <c r="BX88" i="2"/>
  <c r="BR88" i="2"/>
  <c r="BQ88" i="2"/>
  <c r="BP88" i="2"/>
  <c r="BO88" i="2"/>
  <c r="BN88" i="2"/>
  <c r="BM88" i="2"/>
  <c r="BL88" i="2"/>
  <c r="BK88" i="2"/>
  <c r="BJ88" i="2"/>
  <c r="BI88" i="2"/>
  <c r="CF86" i="2"/>
  <c r="CE86" i="2"/>
  <c r="CD86" i="2"/>
  <c r="CC86" i="2"/>
  <c r="CB86" i="2"/>
  <c r="CA86" i="2"/>
  <c r="BZ86" i="2"/>
  <c r="BY86" i="2"/>
  <c r="BR86" i="2"/>
  <c r="BQ86" i="2"/>
  <c r="BP86" i="2"/>
  <c r="BO86" i="2"/>
  <c r="BN86" i="2"/>
  <c r="BM86" i="2"/>
  <c r="BL86" i="2"/>
  <c r="BK86" i="2"/>
  <c r="BJ86" i="2"/>
  <c r="BI86" i="2"/>
  <c r="BR84" i="2"/>
  <c r="BQ84" i="2"/>
  <c r="BP84" i="2"/>
  <c r="BO84" i="2"/>
  <c r="BN84" i="2"/>
  <c r="BM84" i="2"/>
  <c r="BL84" i="2"/>
  <c r="BK84" i="2"/>
  <c r="BJ84" i="2"/>
  <c r="BI84" i="2"/>
  <c r="BR83" i="2"/>
  <c r="BQ83" i="2"/>
  <c r="BP83" i="2"/>
  <c r="BO83" i="2"/>
  <c r="BN83" i="2"/>
  <c r="BM83" i="2"/>
  <c r="BL83" i="2"/>
  <c r="BK83" i="2"/>
  <c r="BJ83" i="2"/>
  <c r="BI83" i="2"/>
  <c r="CF81" i="2"/>
  <c r="CE81" i="2"/>
  <c r="CD81" i="2"/>
  <c r="CC81" i="2"/>
  <c r="CB81" i="2"/>
  <c r="CA81" i="2"/>
  <c r="BZ81" i="2"/>
  <c r="BY81" i="2"/>
  <c r="BX81" i="2"/>
  <c r="BR81" i="2"/>
  <c r="BQ81" i="2"/>
  <c r="BP81" i="2"/>
  <c r="BO81" i="2"/>
  <c r="BN81" i="2"/>
  <c r="BM81" i="2"/>
  <c r="BL81" i="2"/>
  <c r="BK81" i="2"/>
  <c r="BJ81" i="2"/>
  <c r="BI81" i="2"/>
  <c r="CF80" i="2"/>
  <c r="CE80" i="2"/>
  <c r="CD80" i="2"/>
  <c r="CC80" i="2"/>
  <c r="CB80" i="2"/>
  <c r="CA80" i="2"/>
  <c r="BZ80" i="2"/>
  <c r="BR80" i="2"/>
  <c r="BQ80" i="2"/>
  <c r="BP80" i="2"/>
  <c r="BO80" i="2"/>
  <c r="BN80" i="2"/>
  <c r="BM80" i="2"/>
  <c r="BL80" i="2"/>
  <c r="BK80" i="2"/>
  <c r="BJ80" i="2"/>
  <c r="BI80" i="2"/>
  <c r="BI79" i="2"/>
  <c r="BR77" i="2"/>
  <c r="BQ77" i="2"/>
  <c r="BP77" i="2"/>
  <c r="BO77" i="2"/>
  <c r="BN77" i="2"/>
  <c r="BM77" i="2"/>
  <c r="BL77" i="2"/>
  <c r="BK77" i="2"/>
  <c r="BJ77" i="2"/>
  <c r="BI77" i="2"/>
  <c r="CF75" i="2"/>
  <c r="CE75" i="2"/>
  <c r="CD75" i="2"/>
  <c r="CC75" i="2"/>
  <c r="CB75" i="2"/>
  <c r="CA75" i="2"/>
  <c r="BR75" i="2"/>
  <c r="BQ75" i="2"/>
  <c r="BP75" i="2"/>
  <c r="BO75" i="2"/>
  <c r="BN75" i="2"/>
  <c r="BM75" i="2"/>
  <c r="BL75" i="2"/>
  <c r="BK75" i="2"/>
  <c r="BJ75" i="2"/>
  <c r="BI75" i="2"/>
  <c r="BI73" i="2"/>
  <c r="CF72" i="2"/>
  <c r="CE72" i="2"/>
  <c r="CD72" i="2"/>
  <c r="CC72" i="2"/>
  <c r="CB72" i="2"/>
  <c r="CA72" i="2"/>
  <c r="BZ72" i="2"/>
  <c r="BR72" i="2"/>
  <c r="BQ72" i="2"/>
  <c r="BP72" i="2"/>
  <c r="BO72" i="2"/>
  <c r="BN72" i="2"/>
  <c r="BM72" i="2"/>
  <c r="BL72" i="2"/>
  <c r="BK72" i="2"/>
  <c r="BJ72" i="2"/>
  <c r="BI72" i="2"/>
  <c r="BI71" i="2"/>
  <c r="CF69" i="2"/>
  <c r="CE69" i="2"/>
  <c r="CD69" i="2"/>
  <c r="CC69" i="2"/>
  <c r="CB69" i="2"/>
  <c r="CA69" i="2"/>
  <c r="BZ69" i="2"/>
  <c r="BR69" i="2"/>
  <c r="BQ69" i="2"/>
  <c r="BP69" i="2"/>
  <c r="BO69" i="2"/>
  <c r="BN69" i="2"/>
  <c r="BM69" i="2"/>
  <c r="BL69" i="2"/>
  <c r="BK69" i="2"/>
  <c r="BJ69" i="2"/>
  <c r="BI69" i="2"/>
  <c r="BI68" i="2"/>
  <c r="BI67" i="2"/>
  <c r="BI64" i="2"/>
  <c r="CF62" i="2"/>
  <c r="CE62" i="2"/>
  <c r="CD62" i="2"/>
  <c r="CC62" i="2"/>
  <c r="CB62" i="2"/>
  <c r="CA62" i="2"/>
  <c r="BZ62" i="2"/>
  <c r="BY62" i="2"/>
  <c r="BS62" i="2"/>
  <c r="BR62" i="2"/>
  <c r="BQ62" i="2"/>
  <c r="BP62" i="2"/>
  <c r="BO62" i="2"/>
  <c r="BN62" i="2"/>
  <c r="BM62" i="2"/>
  <c r="BL62" i="2"/>
  <c r="BK62" i="2"/>
  <c r="BJ62" i="2"/>
  <c r="BI62" i="2"/>
  <c r="BR61" i="2"/>
  <c r="BQ61" i="2"/>
  <c r="BP61" i="2"/>
  <c r="BO61" i="2"/>
  <c r="BN61" i="2"/>
  <c r="BM61" i="2"/>
  <c r="BI61" i="2"/>
  <c r="BI58" i="2"/>
  <c r="CQ56" i="2"/>
  <c r="CP56" i="2"/>
  <c r="CO56" i="2"/>
  <c r="CN56" i="2"/>
  <c r="CM56" i="2"/>
  <c r="CL56" i="2"/>
  <c r="CK56" i="2"/>
  <c r="CJ56" i="2"/>
  <c r="CI56" i="2"/>
  <c r="CH56" i="2"/>
  <c r="CF56" i="2"/>
  <c r="CE56" i="2"/>
  <c r="CD56" i="2"/>
  <c r="CC56" i="2"/>
  <c r="CB56" i="2"/>
  <c r="CA56" i="2"/>
  <c r="BZ56" i="2"/>
  <c r="BY56" i="2"/>
  <c r="BX56" i="2"/>
  <c r="BS56" i="2"/>
  <c r="BR56" i="2"/>
  <c r="BQ56" i="2"/>
  <c r="BP56" i="2"/>
  <c r="BO56" i="2"/>
  <c r="BN56" i="2"/>
  <c r="BM56" i="2"/>
  <c r="BL56" i="2"/>
  <c r="BK56" i="2"/>
  <c r="BJ56" i="2"/>
  <c r="BI56" i="2"/>
  <c r="CF53" i="2"/>
  <c r="CE53" i="2"/>
  <c r="CD53" i="2"/>
  <c r="CC53" i="2"/>
  <c r="CB53" i="2"/>
  <c r="CA53" i="2"/>
  <c r="BZ53" i="2"/>
  <c r="BY53" i="2"/>
  <c r="BX53" i="2"/>
  <c r="CG53" i="2" s="1"/>
  <c r="BR53" i="2"/>
  <c r="BQ53" i="2"/>
  <c r="BP53" i="2"/>
  <c r="BO53" i="2"/>
  <c r="BN53" i="2"/>
  <c r="BM53" i="2"/>
  <c r="BL53" i="2"/>
  <c r="BK53" i="2"/>
  <c r="BJ53" i="2"/>
  <c r="BI53" i="2"/>
  <c r="BR51" i="2"/>
  <c r="BQ51" i="2"/>
  <c r="BP51" i="2"/>
  <c r="BO51" i="2"/>
  <c r="BN51" i="2"/>
  <c r="BM51" i="2"/>
  <c r="BL51" i="2"/>
  <c r="BK51" i="2"/>
  <c r="BJ51" i="2"/>
  <c r="BI51" i="2"/>
  <c r="CF49" i="2"/>
  <c r="CE49" i="2"/>
  <c r="CD49" i="2"/>
  <c r="CC49" i="2"/>
  <c r="CB49" i="2"/>
  <c r="CA49" i="2"/>
  <c r="BZ49" i="2"/>
  <c r="BY49" i="2"/>
  <c r="BX49" i="2"/>
  <c r="BR49" i="2"/>
  <c r="BQ49" i="2"/>
  <c r="BP49" i="2"/>
  <c r="BO49" i="2"/>
  <c r="BN49" i="2"/>
  <c r="BM49" i="2"/>
  <c r="BL49" i="2"/>
  <c r="BK49" i="2"/>
  <c r="BJ49" i="2"/>
  <c r="BI49" i="2"/>
  <c r="CF47" i="2"/>
  <c r="CE47" i="2"/>
  <c r="CD47" i="2"/>
  <c r="CC47" i="2"/>
  <c r="CB47" i="2"/>
  <c r="BZ47" i="2"/>
  <c r="BY47" i="2"/>
  <c r="BR47" i="2"/>
  <c r="BQ47" i="2"/>
  <c r="BP47" i="2"/>
  <c r="BO47" i="2"/>
  <c r="BN47" i="2"/>
  <c r="BM47" i="2"/>
  <c r="BL47" i="2"/>
  <c r="BK47" i="2"/>
  <c r="BI47" i="2"/>
  <c r="BI45" i="2"/>
  <c r="CF44" i="2"/>
  <c r="CE44" i="2"/>
  <c r="CD44" i="2"/>
  <c r="CC44" i="2"/>
  <c r="CB44" i="2"/>
  <c r="CA44" i="2"/>
  <c r="BR44" i="2"/>
  <c r="BQ44" i="2"/>
  <c r="BP44" i="2"/>
  <c r="BI44" i="2"/>
  <c r="CF40" i="2"/>
  <c r="CE40" i="2"/>
  <c r="CD40" i="2"/>
  <c r="CC40" i="2"/>
  <c r="CB40" i="2"/>
  <c r="CA40" i="2"/>
  <c r="BZ40" i="2"/>
  <c r="BY40" i="2"/>
  <c r="BX40" i="2"/>
  <c r="BR40" i="2"/>
  <c r="BQ40" i="2"/>
  <c r="BP40" i="2"/>
  <c r="BO40" i="2"/>
  <c r="BN40" i="2"/>
  <c r="BM40" i="2"/>
  <c r="BL40" i="2"/>
  <c r="BK40" i="2"/>
  <c r="BJ40" i="2"/>
  <c r="BI40" i="2"/>
  <c r="CQ38" i="2"/>
  <c r="CP38" i="2"/>
  <c r="CO38" i="2"/>
  <c r="CN38" i="2"/>
  <c r="CM38" i="2"/>
  <c r="CL38" i="2"/>
  <c r="CK38" i="2"/>
  <c r="CJ38" i="2"/>
  <c r="CI38" i="2"/>
  <c r="CH38" i="2"/>
  <c r="CF38" i="2"/>
  <c r="CE38" i="2"/>
  <c r="CD38" i="2"/>
  <c r="CC38" i="2"/>
  <c r="CB38" i="2"/>
  <c r="CA38" i="2"/>
  <c r="BZ38" i="2"/>
  <c r="BY38" i="2"/>
  <c r="BX38" i="2"/>
  <c r="BS38" i="2"/>
  <c r="BR38" i="2"/>
  <c r="BQ38" i="2"/>
  <c r="BP38" i="2"/>
  <c r="BO38" i="2"/>
  <c r="BN38" i="2"/>
  <c r="BM38" i="2"/>
  <c r="BL38" i="2"/>
  <c r="BK38" i="2"/>
  <c r="BJ38" i="2"/>
  <c r="BI38" i="2"/>
  <c r="CF35" i="2"/>
  <c r="CE35" i="2"/>
  <c r="CD35" i="2"/>
  <c r="CC35" i="2"/>
  <c r="CB35" i="2"/>
  <c r="CA35" i="2"/>
  <c r="BZ35" i="2"/>
  <c r="BY35" i="2"/>
  <c r="BX35" i="2"/>
  <c r="CG35" i="2" s="1"/>
  <c r="BS35" i="2"/>
  <c r="BR35" i="2"/>
  <c r="BQ35" i="2"/>
  <c r="BP35" i="2"/>
  <c r="BO35" i="2"/>
  <c r="BN35" i="2"/>
  <c r="BM35" i="2"/>
  <c r="BL35" i="2"/>
  <c r="BK35" i="2"/>
  <c r="BJ35" i="2"/>
  <c r="BI35" i="2"/>
  <c r="CF34" i="2"/>
  <c r="CE34" i="2"/>
  <c r="CD34" i="2"/>
  <c r="CC34" i="2"/>
  <c r="CB34" i="2"/>
  <c r="CA34" i="2"/>
  <c r="BZ34" i="2"/>
  <c r="BY34" i="2"/>
  <c r="BX34" i="2"/>
  <c r="CG34" i="2" s="1"/>
  <c r="BR34" i="2"/>
  <c r="BQ34" i="2"/>
  <c r="BP34" i="2"/>
  <c r="BO34" i="2"/>
  <c r="BN34" i="2"/>
  <c r="BM34" i="2"/>
  <c r="BL34" i="2"/>
  <c r="BK34" i="2"/>
  <c r="BJ34" i="2"/>
  <c r="BI34" i="2"/>
  <c r="CF33" i="2"/>
  <c r="CE33" i="2"/>
  <c r="CD33" i="2"/>
  <c r="CC33" i="2"/>
  <c r="CB33" i="2"/>
  <c r="CA33" i="2"/>
  <c r="BZ33" i="2"/>
  <c r="BY33" i="2"/>
  <c r="BX33" i="2"/>
  <c r="BR33" i="2"/>
  <c r="BQ33" i="2"/>
  <c r="BP33" i="2"/>
  <c r="BO33" i="2"/>
  <c r="BN33" i="2"/>
  <c r="BM33" i="2"/>
  <c r="BL33" i="2"/>
  <c r="BK33" i="2"/>
  <c r="BJ33" i="2"/>
  <c r="CQ31" i="2"/>
  <c r="CP31" i="2"/>
  <c r="CO31" i="2"/>
  <c r="CN31" i="2"/>
  <c r="CM31" i="2"/>
  <c r="CL31" i="2"/>
  <c r="CK31" i="2"/>
  <c r="CJ31" i="2"/>
  <c r="CI31" i="2"/>
  <c r="CH31" i="2"/>
  <c r="CF31" i="2"/>
  <c r="CE31" i="2"/>
  <c r="CD31" i="2"/>
  <c r="CC31" i="2"/>
  <c r="CB31" i="2"/>
  <c r="CA31" i="2"/>
  <c r="BZ31" i="2"/>
  <c r="BY31" i="2"/>
  <c r="BX31" i="2"/>
  <c r="BS31" i="2"/>
  <c r="BR31" i="2"/>
  <c r="BQ31" i="2"/>
  <c r="BP31" i="2"/>
  <c r="BO31" i="2"/>
  <c r="BN31" i="2"/>
  <c r="BM31" i="2"/>
  <c r="BL31" i="2"/>
  <c r="BK31" i="2"/>
  <c r="BJ31" i="2"/>
  <c r="BI31" i="2"/>
  <c r="CF29" i="2"/>
  <c r="CE29" i="2"/>
  <c r="CD29" i="2"/>
  <c r="CC29" i="2"/>
  <c r="CB29" i="2"/>
  <c r="CA29" i="2"/>
  <c r="BZ29" i="2"/>
  <c r="BY29" i="2"/>
  <c r="BX29" i="2"/>
  <c r="BR29" i="2"/>
  <c r="BQ29" i="2"/>
  <c r="BP29" i="2"/>
  <c r="BO29" i="2"/>
  <c r="BN29" i="2"/>
  <c r="BM29" i="2"/>
  <c r="BL29" i="2"/>
  <c r="BK29" i="2"/>
  <c r="BJ29" i="2"/>
  <c r="BI28" i="2"/>
  <c r="BR27" i="2"/>
  <c r="BQ27" i="2"/>
  <c r="BP27" i="2"/>
  <c r="BO27" i="2"/>
  <c r="BN27" i="2"/>
  <c r="BM27" i="2"/>
  <c r="BL27" i="2"/>
  <c r="BK27" i="2"/>
  <c r="BJ27" i="2"/>
  <c r="BI27" i="2"/>
  <c r="BI24" i="2"/>
  <c r="CF22" i="2"/>
  <c r="CE22" i="2"/>
  <c r="CD22" i="2"/>
  <c r="CC22" i="2"/>
  <c r="CB22" i="2"/>
  <c r="CA22" i="2"/>
  <c r="BZ22" i="2"/>
  <c r="BY22" i="2"/>
  <c r="BR22" i="2"/>
  <c r="BQ22" i="2"/>
  <c r="BP22" i="2"/>
  <c r="BO22" i="2"/>
  <c r="BN22" i="2"/>
  <c r="BM22" i="2"/>
  <c r="BL22" i="2"/>
  <c r="BK22" i="2"/>
  <c r="BJ22" i="2"/>
  <c r="BI22" i="2"/>
  <c r="CF20" i="2"/>
  <c r="CE20" i="2"/>
  <c r="CD20" i="2"/>
  <c r="CC20" i="2"/>
  <c r="CB20" i="2"/>
  <c r="BR20" i="2"/>
  <c r="BQ20" i="2"/>
  <c r="BP20" i="2"/>
  <c r="BO20" i="2"/>
  <c r="BN20" i="2"/>
  <c r="BM20" i="2"/>
  <c r="BL20" i="2"/>
  <c r="BK20" i="2"/>
  <c r="BJ20" i="2"/>
  <c r="BI20" i="2"/>
  <c r="BS18" i="2"/>
  <c r="BR18" i="2"/>
  <c r="CE17" i="2"/>
  <c r="CD17" i="2"/>
  <c r="CC17" i="2"/>
  <c r="CB17" i="2"/>
  <c r="CA17" i="2"/>
  <c r="BZ17" i="2"/>
  <c r="BR17" i="2"/>
  <c r="BQ17" i="2"/>
  <c r="BP17" i="2"/>
  <c r="BO17" i="2"/>
  <c r="BN17" i="2"/>
  <c r="BM17" i="2"/>
  <c r="BL17" i="2"/>
  <c r="BK17" i="2"/>
  <c r="BJ17" i="2"/>
  <c r="BI17" i="2"/>
  <c r="BR15" i="2"/>
  <c r="BQ15" i="2"/>
  <c r="BP15" i="2"/>
  <c r="BO15" i="2"/>
  <c r="BN15" i="2"/>
  <c r="BM15" i="2"/>
  <c r="BL15" i="2"/>
  <c r="BK15" i="2"/>
  <c r="BJ15" i="2"/>
  <c r="BI15" i="2"/>
  <c r="BI14" i="2"/>
  <c r="CF12" i="2"/>
  <c r="CE12" i="2"/>
  <c r="CD12" i="2"/>
  <c r="CC12" i="2"/>
  <c r="CB12" i="2"/>
  <c r="CA12" i="2"/>
  <c r="BZ12" i="2"/>
  <c r="BS12" i="2"/>
  <c r="BR12" i="2"/>
  <c r="BQ12" i="2"/>
  <c r="BP12" i="2"/>
  <c r="BO12" i="2"/>
  <c r="BN12" i="2"/>
  <c r="BM12" i="2"/>
  <c r="BL12" i="2"/>
  <c r="BK12" i="2"/>
  <c r="BJ12" i="2"/>
  <c r="BI12" i="2"/>
  <c r="BS11" i="2"/>
  <c r="BR11" i="2"/>
  <c r="BQ11" i="2"/>
  <c r="BP11" i="2"/>
  <c r="BO11" i="2"/>
  <c r="BN11" i="2"/>
  <c r="BM11" i="2"/>
  <c r="BL11" i="2"/>
  <c r="BK11" i="2"/>
  <c r="BJ11" i="2"/>
  <c r="CP10" i="2"/>
  <c r="CO10" i="2"/>
  <c r="CN10" i="2"/>
  <c r="CM10" i="2"/>
  <c r="CL10" i="2"/>
  <c r="CK10" i="2"/>
  <c r="CJ10" i="2"/>
  <c r="CI10" i="2"/>
  <c r="CH10" i="2"/>
  <c r="CF10" i="2"/>
  <c r="CE10" i="2"/>
  <c r="CD10" i="2"/>
  <c r="CC10" i="2"/>
  <c r="CB10" i="2"/>
  <c r="CA10" i="2"/>
  <c r="BZ10" i="2"/>
  <c r="BY10" i="2"/>
  <c r="BX10" i="2"/>
  <c r="BS10" i="2"/>
  <c r="BR10" i="2"/>
  <c r="BQ10" i="2"/>
  <c r="BP10" i="2"/>
  <c r="BO10" i="2"/>
  <c r="BN10" i="2"/>
  <c r="BM10" i="2"/>
  <c r="BL10" i="2"/>
  <c r="BK10" i="2"/>
  <c r="BJ10" i="2"/>
  <c r="BI10" i="2"/>
  <c r="BJ9" i="2"/>
  <c r="BI9" i="2"/>
  <c r="BI8" i="2"/>
  <c r="CQ7" i="2"/>
  <c r="CP7" i="2"/>
  <c r="CO7" i="2"/>
  <c r="CN7" i="2"/>
  <c r="CM7" i="2"/>
  <c r="CL7" i="2"/>
  <c r="CK7" i="2"/>
  <c r="CJ7" i="2"/>
  <c r="CI7" i="2"/>
  <c r="CH7" i="2"/>
  <c r="CF7" i="2"/>
  <c r="CE7" i="2"/>
  <c r="CD7" i="2"/>
  <c r="CC7" i="2"/>
  <c r="CB7" i="2"/>
  <c r="CA7" i="2"/>
  <c r="BZ7" i="2"/>
  <c r="BY7" i="2"/>
  <c r="BX7" i="2"/>
  <c r="BS7" i="2"/>
  <c r="BR7" i="2"/>
  <c r="BQ7" i="2"/>
  <c r="BP7" i="2"/>
  <c r="BO7" i="2"/>
  <c r="BN7" i="2"/>
  <c r="BM7" i="2"/>
  <c r="BL7" i="2"/>
  <c r="BK7" i="2"/>
  <c r="BJ7" i="2"/>
  <c r="BI7" i="2"/>
  <c r="CF6" i="2"/>
  <c r="CE6" i="2"/>
  <c r="CD6" i="2"/>
  <c r="CC6" i="2"/>
  <c r="CB6" i="2"/>
  <c r="CA6" i="2"/>
  <c r="BZ6" i="2"/>
  <c r="BY6" i="2"/>
  <c r="BX6" i="2"/>
  <c r="BR6" i="2"/>
  <c r="BQ6" i="2"/>
  <c r="BP6" i="2"/>
  <c r="BO6" i="2"/>
  <c r="BN6" i="2"/>
  <c r="BM6" i="2"/>
  <c r="BL6" i="2"/>
  <c r="BK6" i="2"/>
  <c r="BJ6" i="2"/>
  <c r="BI6" i="2"/>
  <c r="CS97" i="2"/>
  <c r="CS95" i="2"/>
  <c r="CS94" i="2"/>
  <c r="CS91" i="2" s="1"/>
  <c r="CS87" i="2"/>
  <c r="CS86" i="2"/>
  <c r="CS85" i="2" s="1"/>
  <c r="CS84" i="2"/>
  <c r="CS83" i="2"/>
  <c r="CS80" i="2"/>
  <c r="CS79" i="2"/>
  <c r="CS78" i="2" s="1"/>
  <c r="CS76" i="2"/>
  <c r="CS75" i="2"/>
  <c r="CS74" i="2" s="1"/>
  <c r="BC73" i="2"/>
  <c r="BB73" i="2"/>
  <c r="BA73" i="2"/>
  <c r="AZ73" i="2"/>
  <c r="AY73" i="2"/>
  <c r="AX73" i="2"/>
  <c r="AW73" i="2"/>
  <c r="AV73" i="2"/>
  <c r="AU73" i="2"/>
  <c r="BC71" i="2"/>
  <c r="BB71" i="2"/>
  <c r="BA71" i="2"/>
  <c r="AZ71" i="2"/>
  <c r="AY71" i="2"/>
  <c r="AX71" i="2"/>
  <c r="AW71" i="2"/>
  <c r="AV71" i="2"/>
  <c r="AU71" i="2"/>
  <c r="CS70" i="2"/>
  <c r="CS69" i="2"/>
  <c r="CS66" i="2"/>
  <c r="CS63" i="2"/>
  <c r="CS60" i="2"/>
  <c r="CS57" i="2"/>
  <c r="CS55" i="2" s="1"/>
  <c r="CS52" i="2"/>
  <c r="CS50" i="2"/>
  <c r="CS48" i="2"/>
  <c r="CS46" i="2"/>
  <c r="CS42" i="2"/>
  <c r="CS40" i="2"/>
  <c r="CS39" i="2" s="1"/>
  <c r="CS37" i="2" s="1"/>
  <c r="BC40" i="2"/>
  <c r="BB40" i="2"/>
  <c r="BA40" i="2"/>
  <c r="AZ40" i="2"/>
  <c r="AY40" i="2"/>
  <c r="AX40" i="2"/>
  <c r="AW40" i="2"/>
  <c r="AV40" i="2"/>
  <c r="AU40" i="2"/>
  <c r="CS32" i="2"/>
  <c r="CS30" i="2"/>
  <c r="CS28" i="2"/>
  <c r="CS26" i="2" s="1"/>
  <c r="AV24" i="2"/>
  <c r="AW24" i="2" s="1"/>
  <c r="AX24" i="2" s="1"/>
  <c r="AY24" i="2" s="1"/>
  <c r="AZ24" i="2" s="1"/>
  <c r="BA24" i="2" s="1"/>
  <c r="BB24" i="2" s="1"/>
  <c r="BC24" i="2" s="1"/>
  <c r="AK24" i="2"/>
  <c r="AL24" i="2" s="1"/>
  <c r="AM24" i="2" s="1"/>
  <c r="AN24" i="2" s="1"/>
  <c r="AO24" i="2" s="1"/>
  <c r="AP24" i="2" s="1"/>
  <c r="AQ24" i="2" s="1"/>
  <c r="AR24" i="2" s="1"/>
  <c r="CS23" i="2"/>
  <c r="CS21" i="2"/>
  <c r="CS19" i="2"/>
  <c r="AV18" i="2"/>
  <c r="AW18" i="2" s="1"/>
  <c r="AX18" i="2" s="1"/>
  <c r="AY18" i="2" s="1"/>
  <c r="AZ18" i="2" s="1"/>
  <c r="BA18" i="2" s="1"/>
  <c r="BB18" i="2" s="1"/>
  <c r="BC18" i="2" s="1"/>
  <c r="AI18" i="2"/>
  <c r="CS13" i="2"/>
  <c r="CS11" i="2"/>
  <c r="BC9" i="2"/>
  <c r="BB9" i="2"/>
  <c r="BA9" i="2"/>
  <c r="AZ9" i="2"/>
  <c r="AY9" i="2"/>
  <c r="AX9" i="2"/>
  <c r="AW9" i="2"/>
  <c r="AV9" i="2"/>
  <c r="AU9" i="2"/>
  <c r="CS5" i="2"/>
  <c r="CG40" i="2" l="1"/>
  <c r="CG6" i="2"/>
  <c r="CG49" i="2"/>
  <c r="CG88" i="2"/>
  <c r="CG29" i="2"/>
  <c r="CG31" i="2"/>
  <c r="CG33" i="2"/>
  <c r="CG81" i="2"/>
  <c r="CS25" i="2"/>
  <c r="CS41" i="2"/>
  <c r="CS59" i="2"/>
  <c r="CS54" i="2" s="1"/>
  <c r="F104" i="7"/>
  <c r="O104" i="7" s="1"/>
  <c r="O102" i="7"/>
  <c r="CS36" i="2"/>
  <c r="CS4" i="2"/>
  <c r="CS82" i="2"/>
  <c r="CS65" i="2" s="1"/>
  <c r="CS75" i="1"/>
  <c r="CA75" i="1"/>
  <c r="BZ75" i="2" s="1"/>
  <c r="BZ75" i="1"/>
  <c r="BY75" i="2" s="1"/>
  <c r="BY75" i="1"/>
  <c r="BX75" i="2" s="1"/>
  <c r="BT75" i="1"/>
  <c r="BS75" i="2" s="1"/>
  <c r="BY72" i="1"/>
  <c r="BX72" i="2" s="1"/>
  <c r="BZ51" i="1"/>
  <c r="BY51" i="2" s="1"/>
  <c r="CA51" i="1"/>
  <c r="BZ51" i="2" s="1"/>
  <c r="CB51" i="1"/>
  <c r="CA51" i="2" s="1"/>
  <c r="CC51" i="1"/>
  <c r="CB51" i="2" s="1"/>
  <c r="CD51" i="1"/>
  <c r="CC51" i="2" s="1"/>
  <c r="CE51" i="1"/>
  <c r="CD51" i="2" s="1"/>
  <c r="CF51" i="1"/>
  <c r="CE51" i="2" s="1"/>
  <c r="CG51" i="1"/>
  <c r="CF51" i="2" s="1"/>
  <c r="BY51" i="1"/>
  <c r="BX51" i="2" s="1"/>
  <c r="BT51" i="1"/>
  <c r="BS51" i="2" s="1"/>
  <c r="BT53" i="1"/>
  <c r="BS53" i="2" s="1"/>
  <c r="BZ69" i="1"/>
  <c r="BY69" i="2" s="1"/>
  <c r="BY69" i="1"/>
  <c r="BX69" i="2" s="1"/>
  <c r="CG69" i="2" s="1"/>
  <c r="CS69" i="1"/>
  <c r="BT69" i="1"/>
  <c r="BS69" i="2" s="1"/>
  <c r="BY62" i="1"/>
  <c r="BX62" i="2" s="1"/>
  <c r="CG62" i="2" s="1"/>
  <c r="BZ72" i="1"/>
  <c r="BY72" i="2" s="1"/>
  <c r="BT72" i="1"/>
  <c r="BS72" i="2" s="1"/>
  <c r="BT88" i="1"/>
  <c r="BS88" i="2" s="1"/>
  <c r="CA89" i="1"/>
  <c r="BZ89" i="2" s="1"/>
  <c r="BZ89" i="1"/>
  <c r="BY89" i="2" s="1"/>
  <c r="BY89" i="1"/>
  <c r="BX89" i="2" s="1"/>
  <c r="BT89" i="1"/>
  <c r="BS89" i="2" s="1"/>
  <c r="BY15" i="1"/>
  <c r="BX15" i="2" s="1"/>
  <c r="BT15" i="1"/>
  <c r="BS15" i="2" s="1"/>
  <c r="CG83" i="1"/>
  <c r="CF83" i="2" s="1"/>
  <c r="CA83" i="1"/>
  <c r="BZ83" i="2" s="1"/>
  <c r="CB83" i="1"/>
  <c r="CA83" i="2" s="1"/>
  <c r="CC83" i="1"/>
  <c r="CB83" i="2" s="1"/>
  <c r="CD83" i="1"/>
  <c r="CC83" i="2" s="1"/>
  <c r="CE83" i="1"/>
  <c r="CD83" i="2" s="1"/>
  <c r="CF83" i="1"/>
  <c r="CE83" i="2" s="1"/>
  <c r="BZ83" i="1"/>
  <c r="BY83" i="2" s="1"/>
  <c r="BY83" i="1"/>
  <c r="BX83" i="2" s="1"/>
  <c r="CS84" i="1"/>
  <c r="CS83" i="1"/>
  <c r="CA84" i="1"/>
  <c r="BZ84" i="2" s="1"/>
  <c r="CB84" i="1"/>
  <c r="CA84" i="2" s="1"/>
  <c r="CC84" i="1"/>
  <c r="CB84" i="2" s="1"/>
  <c r="CD84" i="1"/>
  <c r="CC84" i="2" s="1"/>
  <c r="CE84" i="1"/>
  <c r="CD84" i="2" s="1"/>
  <c r="CF84" i="1"/>
  <c r="CE84" i="2" s="1"/>
  <c r="CG84" i="1"/>
  <c r="CF84" i="2" s="1"/>
  <c r="BY84" i="1"/>
  <c r="BX84" i="2" s="1"/>
  <c r="BZ84" i="1"/>
  <c r="BY84" i="2" s="1"/>
  <c r="CG51" i="2" l="1"/>
  <c r="CG84" i="2"/>
  <c r="CG72" i="2"/>
  <c r="CG83" i="2"/>
  <c r="CG89" i="2"/>
  <c r="CG75" i="2"/>
  <c r="BZ15" i="1"/>
  <c r="CS94" i="1"/>
  <c r="CP86" i="1"/>
  <c r="CP86" i="2" s="1"/>
  <c r="CO86" i="1"/>
  <c r="CO86" i="2" s="1"/>
  <c r="CN86" i="1"/>
  <c r="CN86" i="2" s="1"/>
  <c r="CM86" i="1"/>
  <c r="CM86" i="2" s="1"/>
  <c r="CL86" i="1"/>
  <c r="CL86" i="2" s="1"/>
  <c r="CK86" i="1"/>
  <c r="CK86" i="2" s="1"/>
  <c r="CJ86" i="1"/>
  <c r="CJ86" i="2" s="1"/>
  <c r="CI86" i="1"/>
  <c r="CI86" i="2" s="1"/>
  <c r="CP96" i="1"/>
  <c r="CP96" i="2" s="1"/>
  <c r="CO96" i="1"/>
  <c r="CO96" i="2" s="1"/>
  <c r="CN96" i="1"/>
  <c r="CN96" i="2" s="1"/>
  <c r="CM96" i="1"/>
  <c r="CM96" i="2" s="1"/>
  <c r="CK96" i="1"/>
  <c r="CK96" i="2" s="1"/>
  <c r="CI96" i="1"/>
  <c r="CI96" i="2" s="1"/>
  <c r="CP89" i="1"/>
  <c r="CP89" i="2" s="1"/>
  <c r="CO89" i="1"/>
  <c r="CO89" i="2" s="1"/>
  <c r="CN89" i="1"/>
  <c r="CN89" i="2" s="1"/>
  <c r="CM89" i="1"/>
  <c r="CM89" i="2" s="1"/>
  <c r="CL89" i="1"/>
  <c r="CL89" i="2" s="1"/>
  <c r="CK89" i="1"/>
  <c r="CK89" i="2" s="1"/>
  <c r="CJ89" i="1"/>
  <c r="CJ89" i="2" s="1"/>
  <c r="CI89" i="1"/>
  <c r="CI89" i="2" s="1"/>
  <c r="CH89" i="1"/>
  <c r="CH89" i="2" s="1"/>
  <c r="CP84" i="1"/>
  <c r="CP84" i="2" s="1"/>
  <c r="CO84" i="1"/>
  <c r="CO84" i="2" s="1"/>
  <c r="CN84" i="1"/>
  <c r="CN84" i="2" s="1"/>
  <c r="CM84" i="1"/>
  <c r="CM84" i="2" s="1"/>
  <c r="CL84" i="1"/>
  <c r="CL84" i="2" s="1"/>
  <c r="CK84" i="1"/>
  <c r="CK84" i="2" s="1"/>
  <c r="CJ84" i="1"/>
  <c r="CJ84" i="2" s="1"/>
  <c r="CI84" i="1"/>
  <c r="CI84" i="2" s="1"/>
  <c r="CH84" i="1"/>
  <c r="CH84" i="2" s="1"/>
  <c r="CP83" i="1"/>
  <c r="CP83" i="2" s="1"/>
  <c r="CO83" i="1"/>
  <c r="CO83" i="2" s="1"/>
  <c r="CN83" i="1"/>
  <c r="CN83" i="2" s="1"/>
  <c r="CM83" i="1"/>
  <c r="CM83" i="2" s="1"/>
  <c r="CL83" i="1"/>
  <c r="CL83" i="2" s="1"/>
  <c r="CK83" i="1"/>
  <c r="CK83" i="2" s="1"/>
  <c r="CJ83" i="1"/>
  <c r="CJ83" i="2" s="1"/>
  <c r="CI83" i="1"/>
  <c r="CI83" i="2" s="1"/>
  <c r="CH83" i="1"/>
  <c r="CH83" i="2" s="1"/>
  <c r="CP75" i="1"/>
  <c r="CP75" i="2" s="1"/>
  <c r="CO75" i="1"/>
  <c r="CO75" i="2" s="1"/>
  <c r="CN75" i="1"/>
  <c r="CN75" i="2" s="1"/>
  <c r="CM75" i="1"/>
  <c r="CM75" i="2" s="1"/>
  <c r="CL75" i="1"/>
  <c r="CL75" i="2" s="1"/>
  <c r="CK75" i="1"/>
  <c r="CK75" i="2" s="1"/>
  <c r="CJ75" i="1"/>
  <c r="CJ75" i="2" s="1"/>
  <c r="CI75" i="1"/>
  <c r="CI75" i="2" s="1"/>
  <c r="CH75" i="1"/>
  <c r="CH75" i="2" s="1"/>
  <c r="CP72" i="1"/>
  <c r="CP72" i="2" s="1"/>
  <c r="CO72" i="1"/>
  <c r="CO72" i="2" s="1"/>
  <c r="CN72" i="1"/>
  <c r="CN72" i="2" s="1"/>
  <c r="CM72" i="1"/>
  <c r="CM72" i="2" s="1"/>
  <c r="CL72" i="1"/>
  <c r="CL72" i="2" s="1"/>
  <c r="CK72" i="1"/>
  <c r="CK72" i="2" s="1"/>
  <c r="CJ72" i="1"/>
  <c r="CJ72" i="2" s="1"/>
  <c r="CI72" i="1"/>
  <c r="CI72" i="2" s="1"/>
  <c r="CH72" i="1"/>
  <c r="CH72" i="2" s="1"/>
  <c r="CP69" i="1"/>
  <c r="CP69" i="2" s="1"/>
  <c r="CO69" i="1"/>
  <c r="CO69" i="2" s="1"/>
  <c r="CN69" i="1"/>
  <c r="CN69" i="2" s="1"/>
  <c r="CM69" i="1"/>
  <c r="CM69" i="2" s="1"/>
  <c r="CL69" i="1"/>
  <c r="CL69" i="2" s="1"/>
  <c r="CK69" i="1"/>
  <c r="CK69" i="2" s="1"/>
  <c r="CJ69" i="1"/>
  <c r="CJ69" i="2" s="1"/>
  <c r="CI69" i="1"/>
  <c r="CI69" i="2" s="1"/>
  <c r="CH69" i="1"/>
  <c r="CH69" i="2" s="1"/>
  <c r="CP62" i="1"/>
  <c r="CP62" i="2" s="1"/>
  <c r="CO62" i="1"/>
  <c r="CO62" i="2" s="1"/>
  <c r="CN62" i="1"/>
  <c r="CN62" i="2" s="1"/>
  <c r="CM62" i="1"/>
  <c r="CM62" i="2" s="1"/>
  <c r="CL62" i="1"/>
  <c r="CL62" i="2" s="1"/>
  <c r="CK62" i="1"/>
  <c r="CK62" i="2" s="1"/>
  <c r="CJ62" i="1"/>
  <c r="CJ62" i="2" s="1"/>
  <c r="CI62" i="1"/>
  <c r="CI62" i="2" s="1"/>
  <c r="CH62" i="1"/>
  <c r="CH62" i="2" s="1"/>
  <c r="CP51" i="1"/>
  <c r="CP51" i="2" s="1"/>
  <c r="CO51" i="1"/>
  <c r="CO51" i="2" s="1"/>
  <c r="CN51" i="1"/>
  <c r="CN51" i="2" s="1"/>
  <c r="CM51" i="1"/>
  <c r="CM51" i="2" s="1"/>
  <c r="CL51" i="1"/>
  <c r="CL51" i="2" s="1"/>
  <c r="CK51" i="1"/>
  <c r="CK51" i="2" s="1"/>
  <c r="CJ51" i="1"/>
  <c r="CJ51" i="2" s="1"/>
  <c r="CI51" i="1"/>
  <c r="CI51" i="2" s="1"/>
  <c r="CH51" i="1"/>
  <c r="CH51" i="2" s="1"/>
  <c r="CP22" i="1"/>
  <c r="CP22" i="2" s="1"/>
  <c r="CO22" i="1"/>
  <c r="CO22" i="2" s="1"/>
  <c r="CN22" i="1"/>
  <c r="CN22" i="2" s="1"/>
  <c r="CM22" i="1"/>
  <c r="CM22" i="2" s="1"/>
  <c r="CL22" i="1"/>
  <c r="CL22" i="2" s="1"/>
  <c r="CK22" i="1"/>
  <c r="CK22" i="2" s="1"/>
  <c r="CJ22" i="1"/>
  <c r="CJ22" i="2" s="1"/>
  <c r="CI22" i="1"/>
  <c r="CI22" i="2" s="1"/>
  <c r="CH15" i="1"/>
  <c r="CH15" i="2" s="1"/>
  <c r="CI15" i="1"/>
  <c r="CI15" i="2" s="1"/>
  <c r="CG17" i="1"/>
  <c r="CF17" i="2" s="1"/>
  <c r="BT17" i="1"/>
  <c r="BS17" i="2" s="1"/>
  <c r="BT20" i="1"/>
  <c r="BS20" i="2" s="1"/>
  <c r="BT22" i="1"/>
  <c r="BS22" i="2" s="1"/>
  <c r="BT77" i="1"/>
  <c r="BS77" i="2" s="1"/>
  <c r="BT80" i="1"/>
  <c r="BS80" i="2" s="1"/>
  <c r="BT84" i="1"/>
  <c r="BS84" i="2" s="1"/>
  <c r="BT83" i="1"/>
  <c r="BS83" i="2" s="1"/>
  <c r="BT86" i="1"/>
  <c r="BS86" i="2" s="1"/>
  <c r="BT90" i="1"/>
  <c r="BS90" i="2" s="1"/>
  <c r="BT94" i="1"/>
  <c r="BS94" i="2" s="1"/>
  <c r="BT93" i="1"/>
  <c r="BS93" i="2" s="1"/>
  <c r="BT92" i="1"/>
  <c r="BS92" i="2" s="1"/>
  <c r="BT96" i="1"/>
  <c r="BS96" i="2" s="1"/>
  <c r="BY15" i="2" l="1"/>
  <c r="CA15" i="1"/>
  <c r="CQ75" i="1"/>
  <c r="CQ75" i="2" s="1"/>
  <c r="CQ51" i="1"/>
  <c r="CQ51" i="2" s="1"/>
  <c r="CQ69" i="1"/>
  <c r="CQ69" i="2" s="1"/>
  <c r="CQ62" i="1"/>
  <c r="CQ62" i="2" s="1"/>
  <c r="CQ72" i="1"/>
  <c r="CQ72" i="2" s="1"/>
  <c r="CQ89" i="1"/>
  <c r="CQ89" i="2" s="1"/>
  <c r="CQ83" i="1"/>
  <c r="CQ83" i="2" s="1"/>
  <c r="CQ84" i="1"/>
  <c r="CQ84" i="2" s="1"/>
  <c r="CJ12" i="1"/>
  <c r="CJ12" i="2" s="1"/>
  <c r="CK12" i="1"/>
  <c r="CK12" i="2" s="1"/>
  <c r="CL12" i="1"/>
  <c r="CL12" i="2" s="1"/>
  <c r="CM12" i="1"/>
  <c r="CM12" i="2" s="1"/>
  <c r="CN12" i="1"/>
  <c r="CN12" i="2" s="1"/>
  <c r="CO12" i="1"/>
  <c r="CO12" i="2" s="1"/>
  <c r="CP12" i="1"/>
  <c r="CP12" i="2" s="1"/>
  <c r="BZ12" i="1"/>
  <c r="BY12" i="2" s="1"/>
  <c r="BY12" i="1"/>
  <c r="CI12" i="1" l="1"/>
  <c r="CI12" i="2" s="1"/>
  <c r="CH12" i="1"/>
  <c r="CH12" i="2" s="1"/>
  <c r="BX12" i="2"/>
  <c r="CB15" i="1"/>
  <c r="BZ15" i="2"/>
  <c r="CJ15" i="1"/>
  <c r="CG58" i="1"/>
  <c r="CF58" i="1"/>
  <c r="CE58" i="1"/>
  <c r="CD58" i="2" s="1"/>
  <c r="CD58" i="1"/>
  <c r="CC58" i="1"/>
  <c r="CB58" i="1"/>
  <c r="CA58" i="1"/>
  <c r="BZ58" i="2" s="1"/>
  <c r="BZ58" i="1"/>
  <c r="BY58" i="1"/>
  <c r="BS58" i="1"/>
  <c r="BR58" i="2" s="1"/>
  <c r="BR58" i="1"/>
  <c r="BQ58" i="2" s="1"/>
  <c r="BQ58" i="1"/>
  <c r="BP58" i="2" s="1"/>
  <c r="BP58" i="1"/>
  <c r="BO58" i="2" s="1"/>
  <c r="BO58" i="1"/>
  <c r="BN58" i="2" s="1"/>
  <c r="BN58" i="1"/>
  <c r="BM58" i="2" s="1"/>
  <c r="BM58" i="1"/>
  <c r="BL58" i="2" s="1"/>
  <c r="BL58" i="1"/>
  <c r="BK58" i="1"/>
  <c r="BJ58" i="2" s="1"/>
  <c r="CG61" i="1"/>
  <c r="CF61" i="1"/>
  <c r="CE61" i="1"/>
  <c r="CD61" i="2" s="1"/>
  <c r="CD61" i="1"/>
  <c r="CC61" i="2" s="1"/>
  <c r="CC61" i="1"/>
  <c r="CB61" i="1"/>
  <c r="CA61" i="1"/>
  <c r="BZ61" i="2" s="1"/>
  <c r="BZ61" i="1"/>
  <c r="BY61" i="2" s="1"/>
  <c r="BY61" i="1"/>
  <c r="BM61" i="1"/>
  <c r="BL61" i="2" s="1"/>
  <c r="BL61" i="1"/>
  <c r="BK61" i="1"/>
  <c r="CP53" i="1"/>
  <c r="CP53" i="2" s="1"/>
  <c r="CO53" i="1"/>
  <c r="CO53" i="2" s="1"/>
  <c r="CN53" i="1"/>
  <c r="CN53" i="2" s="1"/>
  <c r="CM53" i="1"/>
  <c r="CM53" i="2" s="1"/>
  <c r="CL53" i="1"/>
  <c r="CL53" i="2" s="1"/>
  <c r="CK53" i="1"/>
  <c r="CK53" i="2" s="1"/>
  <c r="CJ53" i="1"/>
  <c r="CJ53" i="2" s="1"/>
  <c r="CI53" i="1"/>
  <c r="CI53" i="2" s="1"/>
  <c r="CH53" i="1"/>
  <c r="CH53" i="2" s="1"/>
  <c r="CP47" i="1"/>
  <c r="CP47" i="2" s="1"/>
  <c r="CO47" i="1"/>
  <c r="CO47" i="2" s="1"/>
  <c r="CN47" i="1"/>
  <c r="CN47" i="2" s="1"/>
  <c r="CM47" i="1"/>
  <c r="CM47" i="2" s="1"/>
  <c r="CL47" i="1"/>
  <c r="CL47" i="2" s="1"/>
  <c r="CJ47" i="1"/>
  <c r="CJ47" i="2" s="1"/>
  <c r="CI47" i="1"/>
  <c r="CI47" i="2" s="1"/>
  <c r="CB47" i="1"/>
  <c r="CA47" i="2" s="1"/>
  <c r="BY47" i="1"/>
  <c r="BX47" i="2" s="1"/>
  <c r="BK47" i="1"/>
  <c r="CG45" i="1"/>
  <c r="CF45" i="2" s="1"/>
  <c r="CF45" i="1"/>
  <c r="CE45" i="1"/>
  <c r="CD45" i="2" s="1"/>
  <c r="CD45" i="1"/>
  <c r="CC45" i="1"/>
  <c r="CB45" i="2" s="1"/>
  <c r="CB45" i="1"/>
  <c r="CA45" i="1"/>
  <c r="BZ45" i="2" s="1"/>
  <c r="BZ45" i="1"/>
  <c r="BY45" i="1"/>
  <c r="BX45" i="2" s="1"/>
  <c r="BS45" i="1"/>
  <c r="BR45" i="2" s="1"/>
  <c r="BR45" i="1"/>
  <c r="BQ45" i="2" s="1"/>
  <c r="BQ45" i="1"/>
  <c r="BP45" i="2" s="1"/>
  <c r="BP45" i="1"/>
  <c r="BO45" i="2" s="1"/>
  <c r="BO45" i="1"/>
  <c r="BN45" i="2" s="1"/>
  <c r="BN45" i="1"/>
  <c r="BM45" i="2" s="1"/>
  <c r="BM45" i="1"/>
  <c r="BL45" i="2" s="1"/>
  <c r="BL45" i="1"/>
  <c r="BK45" i="1"/>
  <c r="BJ45" i="2" s="1"/>
  <c r="CP44" i="1"/>
  <c r="CP44" i="2" s="1"/>
  <c r="CO44" i="1"/>
  <c r="CO44" i="2" s="1"/>
  <c r="CN44" i="1"/>
  <c r="CN44" i="2" s="1"/>
  <c r="CA44" i="1"/>
  <c r="BZ44" i="2" s="1"/>
  <c r="BZ44" i="1"/>
  <c r="BY44" i="1"/>
  <c r="BX44" i="2" s="1"/>
  <c r="BP44" i="1"/>
  <c r="BO44" i="1"/>
  <c r="BN44" i="1"/>
  <c r="BM44" i="2" s="1"/>
  <c r="BM44" i="1"/>
  <c r="BL44" i="2" s="1"/>
  <c r="BL44" i="1"/>
  <c r="BK44" i="2" s="1"/>
  <c r="BK44" i="1"/>
  <c r="CG43" i="1"/>
  <c r="CF43" i="1"/>
  <c r="CE43" i="2" s="1"/>
  <c r="CE43" i="1"/>
  <c r="CD43" i="1"/>
  <c r="CC43" i="2" s="1"/>
  <c r="CC43" i="1"/>
  <c r="CB43" i="1"/>
  <c r="CA43" i="2" s="1"/>
  <c r="CA43" i="1"/>
  <c r="BZ43" i="1"/>
  <c r="BY43" i="2" s="1"/>
  <c r="BY43" i="1"/>
  <c r="BS43" i="1"/>
  <c r="BR43" i="2" s="1"/>
  <c r="BR43" i="1"/>
  <c r="BQ43" i="2" s="1"/>
  <c r="BQ43" i="1"/>
  <c r="BP43" i="2" s="1"/>
  <c r="BP43" i="1"/>
  <c r="BO43" i="2" s="1"/>
  <c r="BO43" i="1"/>
  <c r="BN43" i="2" s="1"/>
  <c r="BN43" i="1"/>
  <c r="BM43" i="2" s="1"/>
  <c r="BM43" i="1"/>
  <c r="BL43" i="2" s="1"/>
  <c r="BL43" i="1"/>
  <c r="BK43" i="2" s="1"/>
  <c r="BK43" i="1"/>
  <c r="BJ43" i="2" s="1"/>
  <c r="BJ43" i="1"/>
  <c r="CP20" i="1"/>
  <c r="CP20" i="2" s="1"/>
  <c r="CO20" i="1"/>
  <c r="CO20" i="2" s="1"/>
  <c r="CN20" i="1"/>
  <c r="CN20" i="2" s="1"/>
  <c r="CM20" i="1"/>
  <c r="CM20" i="2" s="1"/>
  <c r="CL20" i="1"/>
  <c r="CL20" i="2" s="1"/>
  <c r="CB20" i="1"/>
  <c r="CA20" i="1"/>
  <c r="BZ20" i="1"/>
  <c r="BY20" i="1"/>
  <c r="BY18" i="1"/>
  <c r="BJ18" i="1"/>
  <c r="BI18" i="2" s="1"/>
  <c r="AW18" i="1"/>
  <c r="AX18" i="1" s="1"/>
  <c r="AY18" i="1" s="1"/>
  <c r="AZ18" i="1" s="1"/>
  <c r="BA18" i="1" s="1"/>
  <c r="BB18" i="1" s="1"/>
  <c r="BC18" i="1" s="1"/>
  <c r="BD18" i="1" s="1"/>
  <c r="AJ18" i="1"/>
  <c r="CP17" i="1"/>
  <c r="CP17" i="2" s="1"/>
  <c r="CO17" i="1"/>
  <c r="CO17" i="2" s="1"/>
  <c r="CN17" i="1"/>
  <c r="CN17" i="2" s="1"/>
  <c r="CM17" i="1"/>
  <c r="CM17" i="2" s="1"/>
  <c r="CL17" i="1"/>
  <c r="CL17" i="2" s="1"/>
  <c r="CK17" i="1"/>
  <c r="CK17" i="2" s="1"/>
  <c r="CJ17" i="1"/>
  <c r="CJ17" i="2" s="1"/>
  <c r="BZ17" i="1"/>
  <c r="BY17" i="2" s="1"/>
  <c r="BY17" i="1"/>
  <c r="BX17" i="2" s="1"/>
  <c r="CG8" i="1"/>
  <c r="CF8" i="2" s="1"/>
  <c r="CF8" i="1"/>
  <c r="CE8" i="1"/>
  <c r="CD8" i="2" s="1"/>
  <c r="CD8" i="1"/>
  <c r="CC8" i="1"/>
  <c r="CB8" i="2" s="1"/>
  <c r="CB8" i="1"/>
  <c r="CA8" i="1"/>
  <c r="BZ8" i="2" s="1"/>
  <c r="BZ8" i="1"/>
  <c r="BY8" i="1"/>
  <c r="BX8" i="2" s="1"/>
  <c r="BS8" i="1"/>
  <c r="BR8" i="2" s="1"/>
  <c r="BR8" i="1"/>
  <c r="BQ8" i="2" s="1"/>
  <c r="BQ8" i="1"/>
  <c r="BP8" i="2" s="1"/>
  <c r="BP8" i="1"/>
  <c r="BO8" i="2" s="1"/>
  <c r="BO8" i="1"/>
  <c r="BN8" i="2" s="1"/>
  <c r="BN8" i="1"/>
  <c r="BM8" i="2" s="1"/>
  <c r="BM8" i="1"/>
  <c r="BL8" i="2" s="1"/>
  <c r="BL8" i="1"/>
  <c r="BK8" i="1"/>
  <c r="BJ8" i="2" s="1"/>
  <c r="CG17" i="2" l="1"/>
  <c r="CG47" i="2"/>
  <c r="CO43" i="1"/>
  <c r="CO43" i="2" s="1"/>
  <c r="CH8" i="1"/>
  <c r="CH8" i="2" s="1"/>
  <c r="CH17" i="1"/>
  <c r="CH17" i="2" s="1"/>
  <c r="BK18" i="1"/>
  <c r="CH18" i="1" s="1"/>
  <c r="CH18" i="2" s="1"/>
  <c r="CP8" i="1"/>
  <c r="CP8" i="2" s="1"/>
  <c r="CI17" i="1"/>
  <c r="CI17" i="2" s="1"/>
  <c r="CN45" i="1"/>
  <c r="CN45" i="2" s="1"/>
  <c r="CM61" i="1"/>
  <c r="CM61" i="2" s="1"/>
  <c r="BX18" i="2"/>
  <c r="CI44" i="1"/>
  <c r="CI44" i="2" s="1"/>
  <c r="BY44" i="2"/>
  <c r="CG44" i="2" s="1"/>
  <c r="CK47" i="1"/>
  <c r="CK47" i="2" s="1"/>
  <c r="CM58" i="1"/>
  <c r="CM58" i="2" s="1"/>
  <c r="CC58" i="2"/>
  <c r="CJ58" i="1"/>
  <c r="CJ58" i="2" s="1"/>
  <c r="CJ8" i="1"/>
  <c r="CJ8" i="2" s="1"/>
  <c r="CH20" i="1"/>
  <c r="CH20" i="2" s="1"/>
  <c r="BX20" i="2"/>
  <c r="CI43" i="1"/>
  <c r="CI43" i="2" s="1"/>
  <c r="CH44" i="1"/>
  <c r="CH44" i="2" s="1"/>
  <c r="BJ44" i="2"/>
  <c r="CL44" i="1"/>
  <c r="CL44" i="2" s="1"/>
  <c r="BN44" i="2"/>
  <c r="CI45" i="1"/>
  <c r="CI45" i="2" s="1"/>
  <c r="BY45" i="2"/>
  <c r="CM45" i="1"/>
  <c r="CM45" i="2" s="1"/>
  <c r="CC45" i="2"/>
  <c r="CH45" i="1"/>
  <c r="CH45" i="2" s="1"/>
  <c r="CP45" i="1"/>
  <c r="CP45" i="2" s="1"/>
  <c r="CH47" i="1"/>
  <c r="CH47" i="2" s="1"/>
  <c r="CK61" i="1"/>
  <c r="CK61" i="2" s="1"/>
  <c r="CA61" i="2"/>
  <c r="CO61" i="1"/>
  <c r="CO61" i="2" s="1"/>
  <c r="CE61" i="2"/>
  <c r="CN61" i="1"/>
  <c r="CN61" i="2" s="1"/>
  <c r="CN58" i="1"/>
  <c r="CN58" i="2" s="1"/>
  <c r="CC15" i="1"/>
  <c r="CA15" i="2"/>
  <c r="CK15" i="1"/>
  <c r="CK15" i="2" s="1"/>
  <c r="CI8" i="1"/>
  <c r="CI8" i="2" s="1"/>
  <c r="BY8" i="2"/>
  <c r="CH43" i="1"/>
  <c r="CH43" i="2" s="1"/>
  <c r="BX43" i="2"/>
  <c r="CP43" i="1"/>
  <c r="CP43" i="2" s="1"/>
  <c r="CF43" i="2"/>
  <c r="CI61" i="1"/>
  <c r="CI61" i="2" s="1"/>
  <c r="BK61" i="2"/>
  <c r="CI58" i="1"/>
  <c r="CI58" i="2" s="1"/>
  <c r="BY58" i="2"/>
  <c r="CK8" i="1"/>
  <c r="CK8" i="2" s="1"/>
  <c r="CA8" i="2"/>
  <c r="CO8" i="1"/>
  <c r="CO8" i="2" s="1"/>
  <c r="CE8" i="2"/>
  <c r="CL8" i="1"/>
  <c r="CL8" i="2" s="1"/>
  <c r="CI20" i="1"/>
  <c r="CI20" i="2" s="1"/>
  <c r="BY20" i="2"/>
  <c r="BS43" i="2"/>
  <c r="BI43" i="2"/>
  <c r="CJ43" i="1"/>
  <c r="CJ43" i="2" s="1"/>
  <c r="BZ43" i="2"/>
  <c r="CN43" i="1"/>
  <c r="CN43" i="2" s="1"/>
  <c r="CD43" i="2"/>
  <c r="CK43" i="1"/>
  <c r="CK43" i="2" s="1"/>
  <c r="CM44" i="1"/>
  <c r="CM44" i="2" s="1"/>
  <c r="BO44" i="2"/>
  <c r="CJ44" i="1"/>
  <c r="CJ44" i="2" s="1"/>
  <c r="CJ45" i="1"/>
  <c r="CJ45" i="2" s="1"/>
  <c r="BJ47" i="2"/>
  <c r="BT47" i="1"/>
  <c r="BS47" i="2" s="1"/>
  <c r="CH61" i="1"/>
  <c r="CH61" i="2" s="1"/>
  <c r="BX61" i="2"/>
  <c r="CL61" i="1"/>
  <c r="CL61" i="2" s="1"/>
  <c r="CB61" i="2"/>
  <c r="CP61" i="1"/>
  <c r="CP61" i="2" s="1"/>
  <c r="CF61" i="2"/>
  <c r="CK58" i="1"/>
  <c r="CK58" i="2" s="1"/>
  <c r="CA58" i="2"/>
  <c r="CO58" i="1"/>
  <c r="CO58" i="2" s="1"/>
  <c r="CE58" i="2"/>
  <c r="CQ12" i="1"/>
  <c r="CM8" i="1"/>
  <c r="CM8" i="2" s="1"/>
  <c r="CC8" i="2"/>
  <c r="CK20" i="1"/>
  <c r="CK20" i="2" s="1"/>
  <c r="CA20" i="2"/>
  <c r="CL43" i="1"/>
  <c r="CL43" i="2" s="1"/>
  <c r="CB43" i="2"/>
  <c r="BT45" i="1"/>
  <c r="BS45" i="2" s="1"/>
  <c r="BK45" i="2"/>
  <c r="BT8" i="1"/>
  <c r="BS8" i="2" s="1"/>
  <c r="BK8" i="2"/>
  <c r="CN8" i="1"/>
  <c r="CN8" i="2" s="1"/>
  <c r="CJ20" i="1"/>
  <c r="CJ20" i="2" s="1"/>
  <c r="BZ20" i="2"/>
  <c r="CM43" i="1"/>
  <c r="CM43" i="2" s="1"/>
  <c r="CK44" i="1"/>
  <c r="CK44" i="2" s="1"/>
  <c r="CK45" i="1"/>
  <c r="CK45" i="2" s="1"/>
  <c r="CA45" i="2"/>
  <c r="CO45" i="1"/>
  <c r="CO45" i="2" s="1"/>
  <c r="CE45" i="2"/>
  <c r="CL45" i="1"/>
  <c r="CL45" i="2" s="1"/>
  <c r="BT61" i="1"/>
  <c r="BS61" i="2" s="1"/>
  <c r="BJ61" i="2"/>
  <c r="CJ61" i="1"/>
  <c r="CJ61" i="2" s="1"/>
  <c r="BT58" i="1"/>
  <c r="BS58" i="2" s="1"/>
  <c r="BK58" i="2"/>
  <c r="CH58" i="1"/>
  <c r="CH58" i="2" s="1"/>
  <c r="BX58" i="2"/>
  <c r="CL58" i="1"/>
  <c r="CL58" i="2" s="1"/>
  <c r="CB58" i="2"/>
  <c r="CP58" i="1"/>
  <c r="CP58" i="2" s="1"/>
  <c r="CF58" i="2"/>
  <c r="CJ15" i="2"/>
  <c r="CQ53" i="1"/>
  <c r="CQ17" i="1"/>
  <c r="BT44" i="1"/>
  <c r="BS44" i="2" s="1"/>
  <c r="BZ18" i="1"/>
  <c r="BY18" i="2" s="1"/>
  <c r="CG58" i="2" l="1"/>
  <c r="CG45" i="2"/>
  <c r="CG8" i="2"/>
  <c r="CG20" i="2"/>
  <c r="CG61" i="2"/>
  <c r="CG43" i="2"/>
  <c r="CQ47" i="1"/>
  <c r="CY47" i="1" s="1"/>
  <c r="CY47" i="2" s="1"/>
  <c r="CQ45" i="1"/>
  <c r="CY45" i="1" s="1"/>
  <c r="CY45" i="2" s="1"/>
  <c r="BJ18" i="2"/>
  <c r="BL18" i="1"/>
  <c r="CQ8" i="1"/>
  <c r="CY8" i="1" s="1"/>
  <c r="CY8" i="2" s="1"/>
  <c r="CQ44" i="1"/>
  <c r="CQ58" i="1"/>
  <c r="CQ58" i="2" s="1"/>
  <c r="CY44" i="1"/>
  <c r="CY44" i="2" s="1"/>
  <c r="CQ44" i="2"/>
  <c r="CY17" i="1"/>
  <c r="CY17" i="2" s="1"/>
  <c r="CQ17" i="2"/>
  <c r="CQ8" i="2"/>
  <c r="CQ20" i="1"/>
  <c r="CQ43" i="1"/>
  <c r="CQ47" i="2"/>
  <c r="CD15" i="1"/>
  <c r="CB15" i="2"/>
  <c r="CL15" i="1"/>
  <c r="CY58" i="1"/>
  <c r="CY58" i="2" s="1"/>
  <c r="CQ61" i="1"/>
  <c r="CY53" i="1"/>
  <c r="CY53" i="2" s="1"/>
  <c r="CQ53" i="2"/>
  <c r="BM18" i="1"/>
  <c r="BK18" i="2"/>
  <c r="CY12" i="1"/>
  <c r="CY12" i="2" s="1"/>
  <c r="CQ12" i="2"/>
  <c r="CI18" i="1"/>
  <c r="CI18" i="2" s="1"/>
  <c r="CA18" i="1"/>
  <c r="BZ18" i="2" s="1"/>
  <c r="CQ45" i="2" l="1"/>
  <c r="CL15" i="2"/>
  <c r="CY61" i="1"/>
  <c r="CY61" i="2" s="1"/>
  <c r="CQ61" i="2"/>
  <c r="CY43" i="1"/>
  <c r="CY43" i="2" s="1"/>
  <c r="CQ43" i="2"/>
  <c r="BN18" i="1"/>
  <c r="BL18" i="2"/>
  <c r="CE15" i="1"/>
  <c r="CC15" i="2"/>
  <c r="CM15" i="1"/>
  <c r="CM15" i="2" s="1"/>
  <c r="CY20" i="1"/>
  <c r="CY20" i="2" s="1"/>
  <c r="CQ20" i="2"/>
  <c r="CJ18" i="1"/>
  <c r="CJ18" i="2" s="1"/>
  <c r="CB18" i="1"/>
  <c r="CA18" i="2" s="1"/>
  <c r="BO18" i="1" l="1"/>
  <c r="BM18" i="2"/>
  <c r="CF15" i="1"/>
  <c r="CD15" i="2"/>
  <c r="CN15" i="1"/>
  <c r="CN15" i="2" s="1"/>
  <c r="CK18" i="1"/>
  <c r="CK18" i="2" s="1"/>
  <c r="CC18" i="1"/>
  <c r="CB18" i="2" s="1"/>
  <c r="CG15" i="1" l="1"/>
  <c r="CE15" i="2"/>
  <c r="CO15" i="1"/>
  <c r="CO15" i="2" s="1"/>
  <c r="BP18" i="1"/>
  <c r="BN18" i="2"/>
  <c r="CL18" i="1"/>
  <c r="CL18" i="2" s="1"/>
  <c r="CD18" i="1"/>
  <c r="CC18" i="2" s="1"/>
  <c r="CF15" i="2" l="1"/>
  <c r="CG15" i="2" s="1"/>
  <c r="CP15" i="1"/>
  <c r="BQ18" i="1"/>
  <c r="BO18" i="2"/>
  <c r="CM18" i="1"/>
  <c r="CM18" i="2" s="1"/>
  <c r="CE18" i="1"/>
  <c r="CD18" i="2" s="1"/>
  <c r="BR18" i="1" l="1"/>
  <c r="BQ18" i="2" s="1"/>
  <c r="BP18" i="2"/>
  <c r="CP15" i="2"/>
  <c r="CQ15" i="1"/>
  <c r="CQ15" i="2" s="1"/>
  <c r="CN18" i="1"/>
  <c r="CN18" i="2" s="1"/>
  <c r="CF18" i="1"/>
  <c r="CE18" i="2" s="1"/>
  <c r="CO18" i="1" l="1"/>
  <c r="CO18" i="2" s="1"/>
  <c r="CG18" i="1"/>
  <c r="CP18" i="1" l="1"/>
  <c r="CP16" i="1" s="1"/>
  <c r="CF18" i="2"/>
  <c r="CS80" i="1"/>
  <c r="BY80" i="1" s="1"/>
  <c r="CP80" i="1"/>
  <c r="CP80" i="2" s="1"/>
  <c r="CO80" i="1"/>
  <c r="CO80" i="2" s="1"/>
  <c r="CN80" i="1"/>
  <c r="CN80" i="2" s="1"/>
  <c r="CM80" i="1"/>
  <c r="CM80" i="2" s="1"/>
  <c r="CL80" i="1"/>
  <c r="CL80" i="2" s="1"/>
  <c r="CK80" i="1"/>
  <c r="CK80" i="2" s="1"/>
  <c r="CJ80" i="1"/>
  <c r="CJ80" i="2" s="1"/>
  <c r="CS79" i="1"/>
  <c r="BZ79" i="1" s="1"/>
  <c r="CG79" i="1"/>
  <c r="CF79" i="2" s="1"/>
  <c r="CF79" i="1"/>
  <c r="CE79" i="1"/>
  <c r="CD79" i="1"/>
  <c r="CC79" i="2" s="1"/>
  <c r="CC79" i="1"/>
  <c r="CB79" i="2" s="1"/>
  <c r="CB79" i="1"/>
  <c r="BS79" i="1"/>
  <c r="BR79" i="2" s="1"/>
  <c r="BR79" i="1"/>
  <c r="BQ79" i="2" s="1"/>
  <c r="BQ79" i="1"/>
  <c r="BP79" i="2" s="1"/>
  <c r="BP79" i="1"/>
  <c r="BO79" i="2" s="1"/>
  <c r="BO79" i="1"/>
  <c r="BN79" i="2" s="1"/>
  <c r="BN79" i="1"/>
  <c r="BM79" i="2" s="1"/>
  <c r="BM79" i="1"/>
  <c r="BL79" i="2" s="1"/>
  <c r="BL79" i="1"/>
  <c r="BK79" i="1"/>
  <c r="BJ79" i="2" s="1"/>
  <c r="BX80" i="2" l="1"/>
  <c r="CH80" i="1"/>
  <c r="CH80" i="2" s="1"/>
  <c r="BT79" i="1"/>
  <c r="BS79" i="2" s="1"/>
  <c r="BK79" i="2"/>
  <c r="CA79" i="1"/>
  <c r="CM79" i="1"/>
  <c r="CM79" i="2" s="1"/>
  <c r="BZ80" i="1"/>
  <c r="CK79" i="1"/>
  <c r="CK79" i="2" s="1"/>
  <c r="CA79" i="2"/>
  <c r="CO79" i="1"/>
  <c r="CO79" i="2" s="1"/>
  <c r="CE79" i="2"/>
  <c r="CP79" i="1"/>
  <c r="CP79" i="2" s="1"/>
  <c r="CI79" i="1"/>
  <c r="CI79" i="2" s="1"/>
  <c r="BY79" i="2"/>
  <c r="CL79" i="1"/>
  <c r="CL79" i="2" s="1"/>
  <c r="CN79" i="1"/>
  <c r="CN79" i="2" s="1"/>
  <c r="CD79" i="2"/>
  <c r="CQ18" i="1"/>
  <c r="CP18" i="2"/>
  <c r="BY79" i="1"/>
  <c r="CH79" i="1" l="1"/>
  <c r="BX79" i="2"/>
  <c r="BY80" i="2"/>
  <c r="CG80" i="2" s="1"/>
  <c r="CI80" i="1"/>
  <c r="CY18" i="1"/>
  <c r="CQ18" i="2"/>
  <c r="CJ79" i="1"/>
  <c r="CJ79" i="2" s="1"/>
  <c r="BZ79" i="2"/>
  <c r="BY24" i="1"/>
  <c r="BX24" i="2" s="1"/>
  <c r="BK24" i="1"/>
  <c r="BJ24" i="2" s="1"/>
  <c r="CA24" i="1"/>
  <c r="BZ24" i="2" s="1"/>
  <c r="CB24" i="1"/>
  <c r="CA24" i="2" s="1"/>
  <c r="CC24" i="1"/>
  <c r="CB24" i="2" s="1"/>
  <c r="CD24" i="1"/>
  <c r="CC24" i="2" s="1"/>
  <c r="CE24" i="1"/>
  <c r="CD24" i="2" s="1"/>
  <c r="CF24" i="1"/>
  <c r="CE24" i="2" s="1"/>
  <c r="CG24" i="1"/>
  <c r="CF24" i="2" s="1"/>
  <c r="BZ24" i="1"/>
  <c r="BY24" i="2" s="1"/>
  <c r="BM24" i="1"/>
  <c r="BL24" i="2" s="1"/>
  <c r="BN24" i="1"/>
  <c r="BM24" i="2" s="1"/>
  <c r="BO24" i="1"/>
  <c r="BN24" i="2" s="1"/>
  <c r="BP24" i="1"/>
  <c r="BO24" i="2" s="1"/>
  <c r="BQ24" i="1"/>
  <c r="BP24" i="2" s="1"/>
  <c r="BR24" i="1"/>
  <c r="BQ24" i="2" s="1"/>
  <c r="BS24" i="1"/>
  <c r="BR24" i="2" s="1"/>
  <c r="BL24" i="1"/>
  <c r="BK24" i="2" s="1"/>
  <c r="AW24" i="1"/>
  <c r="AX24" i="1" s="1"/>
  <c r="AY24" i="1" s="1"/>
  <c r="AZ24" i="1" s="1"/>
  <c r="BA24" i="1" s="1"/>
  <c r="BB24" i="1" s="1"/>
  <c r="BC24" i="1" s="1"/>
  <c r="BD24" i="1" s="1"/>
  <c r="AL24" i="1"/>
  <c r="AM24" i="1" s="1"/>
  <c r="AN24" i="1" s="1"/>
  <c r="AO24" i="1" s="1"/>
  <c r="AP24" i="1" s="1"/>
  <c r="AQ24" i="1" s="1"/>
  <c r="AR24" i="1" s="1"/>
  <c r="AS24" i="1" s="1"/>
  <c r="CY18" i="2" l="1"/>
  <c r="CY16" i="1"/>
  <c r="CG79" i="2"/>
  <c r="CG24" i="2"/>
  <c r="CI80" i="2"/>
  <c r="CQ80" i="1"/>
  <c r="CQ79" i="1"/>
  <c r="CH79" i="2"/>
  <c r="BT6" i="1"/>
  <c r="BS6" i="2" s="1"/>
  <c r="BT24" i="1"/>
  <c r="BS24" i="2" s="1"/>
  <c r="BT27" i="1"/>
  <c r="BS27" i="2" s="1"/>
  <c r="CY79" i="1" l="1"/>
  <c r="CY79" i="2" s="1"/>
  <c r="CQ79" i="2"/>
  <c r="CY80" i="1"/>
  <c r="CY80" i="2" s="1"/>
  <c r="CQ80" i="2"/>
  <c r="CG23" i="1"/>
  <c r="CF23" i="2" s="1"/>
  <c r="CF23" i="1"/>
  <c r="CE23" i="2" s="1"/>
  <c r="CE23" i="1"/>
  <c r="CD23" i="2" s="1"/>
  <c r="CD23" i="1"/>
  <c r="CC23" i="2" s="1"/>
  <c r="CC23" i="1"/>
  <c r="CB23" i="2" s="1"/>
  <c r="CB23" i="1"/>
  <c r="CA23" i="2" s="1"/>
  <c r="CA23" i="1"/>
  <c r="BZ23" i="2" s="1"/>
  <c r="BZ23" i="1"/>
  <c r="BY23" i="2" s="1"/>
  <c r="BY23" i="1"/>
  <c r="BX23" i="2" s="1"/>
  <c r="CG23" i="2" l="1"/>
  <c r="BK5" i="1"/>
  <c r="BJ5" i="2" s="1"/>
  <c r="CQ10" i="1"/>
  <c r="BY9" i="1"/>
  <c r="CH9" i="1" s="1"/>
  <c r="CH9" i="2" s="1"/>
  <c r="BL9" i="1"/>
  <c r="BD9" i="1"/>
  <c r="BC9" i="1"/>
  <c r="BB9" i="1"/>
  <c r="BA9" i="1"/>
  <c r="AZ9" i="1"/>
  <c r="AY9" i="1"/>
  <c r="AX9" i="1"/>
  <c r="AW9" i="1"/>
  <c r="AV9" i="1"/>
  <c r="CY10" i="1" l="1"/>
  <c r="CY10" i="2" s="1"/>
  <c r="CQ10" i="2"/>
  <c r="BM9" i="1"/>
  <c r="BM5" i="1" s="1"/>
  <c r="BL5" i="2" s="1"/>
  <c r="BK9" i="2"/>
  <c r="BZ9" i="1"/>
  <c r="CI9" i="1" s="1"/>
  <c r="CI9" i="2" s="1"/>
  <c r="BX9" i="2"/>
  <c r="BL5" i="1"/>
  <c r="BK5" i="2" s="1"/>
  <c r="BY5" i="1"/>
  <c r="BX5" i="2" s="1"/>
  <c r="CS52" i="1"/>
  <c r="CP52" i="1"/>
  <c r="CP52" i="2" s="1"/>
  <c r="CO52" i="1"/>
  <c r="CO52" i="2" s="1"/>
  <c r="CN52" i="1"/>
  <c r="CN52" i="2" s="1"/>
  <c r="CM52" i="1"/>
  <c r="CM52" i="2" s="1"/>
  <c r="CL52" i="1"/>
  <c r="CL52" i="2" s="1"/>
  <c r="CK52" i="1"/>
  <c r="CK52" i="2" s="1"/>
  <c r="CJ52" i="1"/>
  <c r="CJ52" i="2" s="1"/>
  <c r="CI52" i="1"/>
  <c r="CI52" i="2" s="1"/>
  <c r="CH52" i="1"/>
  <c r="CH52" i="2" s="1"/>
  <c r="CG52" i="1"/>
  <c r="CF52" i="2" s="1"/>
  <c r="CF52" i="1"/>
  <c r="CE52" i="2" s="1"/>
  <c r="CE52" i="1"/>
  <c r="CD52" i="2" s="1"/>
  <c r="CD52" i="1"/>
  <c r="CC52" i="2" s="1"/>
  <c r="CC52" i="1"/>
  <c r="CB52" i="2" s="1"/>
  <c r="CB52" i="1"/>
  <c r="CA52" i="2" s="1"/>
  <c r="CA52" i="1"/>
  <c r="BZ52" i="2" s="1"/>
  <c r="BZ52" i="1"/>
  <c r="BY52" i="2" s="1"/>
  <c r="BY52" i="1"/>
  <c r="BX52" i="2" s="1"/>
  <c r="BS52" i="1"/>
  <c r="BR52" i="2" s="1"/>
  <c r="BR52" i="1"/>
  <c r="BQ52" i="2" s="1"/>
  <c r="BQ52" i="1"/>
  <c r="BP52" i="2" s="1"/>
  <c r="BP52" i="1"/>
  <c r="BO52" i="2" s="1"/>
  <c r="BO52" i="1"/>
  <c r="BN52" i="2" s="1"/>
  <c r="BN52" i="1"/>
  <c r="BM52" i="2" s="1"/>
  <c r="BM52" i="1"/>
  <c r="BL52" i="2" s="1"/>
  <c r="BL52" i="1"/>
  <c r="BK52" i="2" s="1"/>
  <c r="BK52" i="1"/>
  <c r="BJ52" i="2" s="1"/>
  <c r="BJ52" i="1"/>
  <c r="BI52" i="2" s="1"/>
  <c r="CY11" i="1"/>
  <c r="CY11" i="2" s="1"/>
  <c r="CY16" i="2"/>
  <c r="CY19" i="1"/>
  <c r="CY19" i="2" s="1"/>
  <c r="CY46" i="1"/>
  <c r="CY46" i="2" s="1"/>
  <c r="CY51" i="1"/>
  <c r="CY52" i="1"/>
  <c r="CY52" i="2" s="1"/>
  <c r="CY62" i="1"/>
  <c r="CY62" i="2" s="1"/>
  <c r="CY69" i="1"/>
  <c r="CY69" i="2" s="1"/>
  <c r="CY72" i="1"/>
  <c r="CY72" i="2" s="1"/>
  <c r="CY89" i="1"/>
  <c r="CY89" i="2" s="1"/>
  <c r="CY83" i="1"/>
  <c r="CY83" i="2" s="1"/>
  <c r="CY75" i="1"/>
  <c r="CY57" i="1"/>
  <c r="CY31" i="1"/>
  <c r="CY31" i="2" s="1"/>
  <c r="CS28" i="1"/>
  <c r="CS26" i="1" s="1"/>
  <c r="CS23" i="1"/>
  <c r="BS78" i="1"/>
  <c r="BR78" i="2" s="1"/>
  <c r="BR78" i="1"/>
  <c r="BQ78" i="2" s="1"/>
  <c r="BQ78" i="1"/>
  <c r="BP78" i="2" s="1"/>
  <c r="BP78" i="1"/>
  <c r="BO78" i="2" s="1"/>
  <c r="BO78" i="1"/>
  <c r="BN78" i="2" s="1"/>
  <c r="BN78" i="1"/>
  <c r="BM78" i="2" s="1"/>
  <c r="BM78" i="1"/>
  <c r="BL78" i="2" s="1"/>
  <c r="BL78" i="1"/>
  <c r="BK78" i="2" s="1"/>
  <c r="BK78" i="1"/>
  <c r="BJ78" i="2" s="1"/>
  <c r="BJ78" i="1"/>
  <c r="BI78" i="2" s="1"/>
  <c r="BS32" i="1"/>
  <c r="BR32" i="2" s="1"/>
  <c r="BR32" i="1"/>
  <c r="BQ32" i="2" s="1"/>
  <c r="BQ32" i="1"/>
  <c r="BP32" i="2" s="1"/>
  <c r="BP32" i="1"/>
  <c r="BO32" i="2" s="1"/>
  <c r="BO32" i="1"/>
  <c r="BN32" i="2" s="1"/>
  <c r="BN32" i="1"/>
  <c r="BM32" i="2" s="1"/>
  <c r="BM32" i="1"/>
  <c r="BL32" i="2" s="1"/>
  <c r="BL32" i="1"/>
  <c r="BK32" i="2" s="1"/>
  <c r="BK32" i="1"/>
  <c r="BJ32" i="2" s="1"/>
  <c r="BJ66" i="1"/>
  <c r="BI66" i="2" s="1"/>
  <c r="BJ70" i="1"/>
  <c r="BI70" i="2" s="1"/>
  <c r="BS87" i="1"/>
  <c r="BR87" i="2" s="1"/>
  <c r="BR87" i="1"/>
  <c r="BQ87" i="2" s="1"/>
  <c r="BQ87" i="1"/>
  <c r="BP87" i="2" s="1"/>
  <c r="BP87" i="1"/>
  <c r="BO87" i="2" s="1"/>
  <c r="BO87" i="1"/>
  <c r="BN87" i="2" s="1"/>
  <c r="BN87" i="1"/>
  <c r="BM87" i="2" s="1"/>
  <c r="BM87" i="1"/>
  <c r="BL87" i="2" s="1"/>
  <c r="BL87" i="1"/>
  <c r="BK87" i="2" s="1"/>
  <c r="BK87" i="1"/>
  <c r="BJ87" i="2" s="1"/>
  <c r="BJ87" i="1"/>
  <c r="BI87" i="2" s="1"/>
  <c r="BM91" i="1"/>
  <c r="BL91" i="2" s="1"/>
  <c r="BN91" i="1"/>
  <c r="BM91" i="2" s="1"/>
  <c r="BO91" i="1"/>
  <c r="BN91" i="2" s="1"/>
  <c r="BP91" i="1"/>
  <c r="BO91" i="2" s="1"/>
  <c r="BQ91" i="1"/>
  <c r="BP91" i="2" s="1"/>
  <c r="BR91" i="1"/>
  <c r="BQ91" i="2" s="1"/>
  <c r="BS91" i="1"/>
  <c r="BR91" i="2" s="1"/>
  <c r="BL91" i="1"/>
  <c r="BK91" i="2" s="1"/>
  <c r="BK91" i="1"/>
  <c r="BJ91" i="2" s="1"/>
  <c r="BJ91" i="1"/>
  <c r="BI91" i="2" s="1"/>
  <c r="BJ82" i="1"/>
  <c r="BI82" i="2" s="1"/>
  <c r="BJ60" i="1"/>
  <c r="BI60" i="2" s="1"/>
  <c r="BJ5" i="1"/>
  <c r="BI5" i="2" s="1"/>
  <c r="BJ11" i="1"/>
  <c r="BI11" i="2" s="1"/>
  <c r="BJ13" i="1"/>
  <c r="BI13" i="2" s="1"/>
  <c r="BR16" i="2"/>
  <c r="BQ16" i="2"/>
  <c r="BP16" i="2"/>
  <c r="BO16" i="2"/>
  <c r="BN16" i="2"/>
  <c r="BM16" i="2"/>
  <c r="BL16" i="2"/>
  <c r="BK16" i="2"/>
  <c r="BJ16" i="2"/>
  <c r="BJ16" i="1"/>
  <c r="BI16" i="2" s="1"/>
  <c r="BS19" i="1"/>
  <c r="BR19" i="2" s="1"/>
  <c r="BR19" i="1"/>
  <c r="BQ19" i="2" s="1"/>
  <c r="BQ19" i="1"/>
  <c r="BP19" i="2" s="1"/>
  <c r="BP19" i="1"/>
  <c r="BO19" i="2" s="1"/>
  <c r="BO19" i="1"/>
  <c r="BN19" i="2" s="1"/>
  <c r="BN19" i="1"/>
  <c r="BM19" i="2" s="1"/>
  <c r="BM19" i="1"/>
  <c r="BL19" i="2" s="1"/>
  <c r="BL19" i="1"/>
  <c r="BK19" i="2" s="1"/>
  <c r="BK19" i="1"/>
  <c r="BJ19" i="2" s="1"/>
  <c r="BJ19" i="1"/>
  <c r="BI19" i="2" s="1"/>
  <c r="BS21" i="1"/>
  <c r="BR21" i="2" s="1"/>
  <c r="BR21" i="1"/>
  <c r="BQ21" i="2" s="1"/>
  <c r="BQ21" i="1"/>
  <c r="BP21" i="2" s="1"/>
  <c r="BP21" i="1"/>
  <c r="BO21" i="2" s="1"/>
  <c r="BO21" i="1"/>
  <c r="BN21" i="2" s="1"/>
  <c r="BN21" i="1"/>
  <c r="BM21" i="2" s="1"/>
  <c r="BM21" i="1"/>
  <c r="BL21" i="2" s="1"/>
  <c r="BL21" i="1"/>
  <c r="BK21" i="2" s="1"/>
  <c r="BK21" i="1"/>
  <c r="BJ21" i="2" s="1"/>
  <c r="BJ21" i="1"/>
  <c r="BI21" i="2" s="1"/>
  <c r="BJ23" i="1"/>
  <c r="BI23" i="2" s="1"/>
  <c r="BS30" i="1"/>
  <c r="BR30" i="2" s="1"/>
  <c r="BR30" i="1"/>
  <c r="BQ30" i="2" s="1"/>
  <c r="BQ30" i="1"/>
  <c r="BP30" i="2" s="1"/>
  <c r="BP30" i="1"/>
  <c r="BO30" i="2" s="1"/>
  <c r="BO30" i="1"/>
  <c r="BN30" i="2" s="1"/>
  <c r="BN30" i="1"/>
  <c r="BM30" i="2" s="1"/>
  <c r="BM30" i="1"/>
  <c r="BL30" i="2" s="1"/>
  <c r="BL30" i="1"/>
  <c r="BK30" i="2" s="1"/>
  <c r="BK30" i="1"/>
  <c r="BJ30" i="2" s="1"/>
  <c r="BJ30" i="1"/>
  <c r="BI30" i="2" s="1"/>
  <c r="BS39" i="1"/>
  <c r="BR39" i="2" s="1"/>
  <c r="BR39" i="1"/>
  <c r="BQ39" i="2" s="1"/>
  <c r="BQ39" i="1"/>
  <c r="BP39" i="2" s="1"/>
  <c r="BP39" i="1"/>
  <c r="BO39" i="2" s="1"/>
  <c r="BO39" i="1"/>
  <c r="BN39" i="2" s="1"/>
  <c r="BN39" i="1"/>
  <c r="BM39" i="2" s="1"/>
  <c r="BM39" i="1"/>
  <c r="BL39" i="2" s="1"/>
  <c r="BL39" i="1"/>
  <c r="BK39" i="2" s="1"/>
  <c r="BK39" i="1"/>
  <c r="BJ39" i="2" s="1"/>
  <c r="BJ39" i="1"/>
  <c r="BS46" i="1"/>
  <c r="BR46" i="2" s="1"/>
  <c r="BR46" i="1"/>
  <c r="BQ46" i="2" s="1"/>
  <c r="BQ46" i="1"/>
  <c r="BP46" i="2" s="1"/>
  <c r="BP46" i="1"/>
  <c r="BO46" i="2" s="1"/>
  <c r="BO46" i="1"/>
  <c r="BN46" i="2" s="1"/>
  <c r="BN46" i="1"/>
  <c r="BM46" i="2" s="1"/>
  <c r="BM46" i="1"/>
  <c r="BL46" i="2" s="1"/>
  <c r="BL46" i="1"/>
  <c r="BK46" i="2" s="1"/>
  <c r="BK46" i="1"/>
  <c r="BJ46" i="2" s="1"/>
  <c r="BJ46" i="1"/>
  <c r="BI46" i="2" s="1"/>
  <c r="BS48" i="1"/>
  <c r="BR48" i="2" s="1"/>
  <c r="BR48" i="1"/>
  <c r="BQ48" i="2" s="1"/>
  <c r="BQ48" i="1"/>
  <c r="BP48" i="2" s="1"/>
  <c r="BP48" i="1"/>
  <c r="BO48" i="2" s="1"/>
  <c r="BO48" i="1"/>
  <c r="BN48" i="2" s="1"/>
  <c r="BN48" i="1"/>
  <c r="BM48" i="2" s="1"/>
  <c r="BM48" i="1"/>
  <c r="BL48" i="2" s="1"/>
  <c r="BL48" i="1"/>
  <c r="BK48" i="2" s="1"/>
  <c r="BK48" i="1"/>
  <c r="BJ48" i="2" s="1"/>
  <c r="BJ48" i="1"/>
  <c r="BI48" i="2" s="1"/>
  <c r="BS50" i="1"/>
  <c r="BR50" i="2" s="1"/>
  <c r="BR50" i="1"/>
  <c r="BQ50" i="2" s="1"/>
  <c r="BQ50" i="1"/>
  <c r="BP50" i="2" s="1"/>
  <c r="BP50" i="1"/>
  <c r="BO50" i="2" s="1"/>
  <c r="BO50" i="1"/>
  <c r="BN50" i="2" s="1"/>
  <c r="BN50" i="1"/>
  <c r="BM50" i="2" s="1"/>
  <c r="BM50" i="1"/>
  <c r="BL50" i="2" s="1"/>
  <c r="BL50" i="1"/>
  <c r="BK50" i="2" s="1"/>
  <c r="BK50" i="1"/>
  <c r="BJ50" i="2" s="1"/>
  <c r="BJ50" i="1"/>
  <c r="BI50" i="2" s="1"/>
  <c r="BS57" i="1"/>
  <c r="BR57" i="1"/>
  <c r="BQ57" i="1"/>
  <c r="BP57" i="1"/>
  <c r="BO57" i="1"/>
  <c r="BN57" i="1"/>
  <c r="BM57" i="1"/>
  <c r="BL57" i="1"/>
  <c r="BK57" i="1"/>
  <c r="BJ57" i="2" s="1"/>
  <c r="BJ57" i="1"/>
  <c r="BJ63" i="1"/>
  <c r="BI63" i="2" s="1"/>
  <c r="BS74" i="1"/>
  <c r="BR74" i="2" s="1"/>
  <c r="BR74" i="1"/>
  <c r="BQ74" i="2" s="1"/>
  <c r="BQ74" i="1"/>
  <c r="BP74" i="2" s="1"/>
  <c r="BP74" i="1"/>
  <c r="BO74" i="2" s="1"/>
  <c r="BO74" i="1"/>
  <c r="BN74" i="2" s="1"/>
  <c r="BN74" i="1"/>
  <c r="BM74" i="2" s="1"/>
  <c r="BM74" i="1"/>
  <c r="BL74" i="2" s="1"/>
  <c r="BL74" i="1"/>
  <c r="BK74" i="2" s="1"/>
  <c r="BK74" i="1"/>
  <c r="BJ74" i="2" s="1"/>
  <c r="BJ74" i="1"/>
  <c r="BI74" i="2" s="1"/>
  <c r="BS76" i="1"/>
  <c r="BR76" i="2" s="1"/>
  <c r="BR76" i="1"/>
  <c r="BQ76" i="2" s="1"/>
  <c r="BQ76" i="1"/>
  <c r="BP76" i="2" s="1"/>
  <c r="BP76" i="1"/>
  <c r="BO76" i="2" s="1"/>
  <c r="BO76" i="1"/>
  <c r="BN76" i="2" s="1"/>
  <c r="BN76" i="1"/>
  <c r="BM76" i="2" s="1"/>
  <c r="BM76" i="1"/>
  <c r="BL76" i="2" s="1"/>
  <c r="BL76" i="1"/>
  <c r="BK76" i="2" s="1"/>
  <c r="BK76" i="1"/>
  <c r="BJ76" i="2" s="1"/>
  <c r="BJ76" i="1"/>
  <c r="BI76" i="2" s="1"/>
  <c r="BS85" i="1"/>
  <c r="BR85" i="2" s="1"/>
  <c r="BR85" i="1"/>
  <c r="BQ85" i="2" s="1"/>
  <c r="BQ85" i="1"/>
  <c r="BP85" i="2" s="1"/>
  <c r="BP85" i="1"/>
  <c r="BO85" i="2" s="1"/>
  <c r="BO85" i="1"/>
  <c r="BN85" i="2" s="1"/>
  <c r="BN85" i="1"/>
  <c r="BM85" i="2" s="1"/>
  <c r="BM85" i="1"/>
  <c r="BL85" i="2" s="1"/>
  <c r="BL85" i="1"/>
  <c r="BK85" i="2" s="1"/>
  <c r="BK85" i="1"/>
  <c r="BJ85" i="2" s="1"/>
  <c r="BJ85" i="1"/>
  <c r="BI85" i="2" s="1"/>
  <c r="BS95" i="1"/>
  <c r="BR95" i="2" s="1"/>
  <c r="BR95" i="1"/>
  <c r="BQ95" i="2" s="1"/>
  <c r="BQ95" i="1"/>
  <c r="BP95" i="2" s="1"/>
  <c r="BP95" i="1"/>
  <c r="BO95" i="2" s="1"/>
  <c r="BO95" i="1"/>
  <c r="BN95" i="2" s="1"/>
  <c r="BN95" i="1"/>
  <c r="BM95" i="2" s="1"/>
  <c r="BM95" i="1"/>
  <c r="BL95" i="2" s="1"/>
  <c r="BL95" i="1"/>
  <c r="BK95" i="2" s="1"/>
  <c r="BK95" i="1"/>
  <c r="BJ95" i="2" s="1"/>
  <c r="BM97" i="1"/>
  <c r="BL97" i="2" s="1"/>
  <c r="BN97" i="1"/>
  <c r="BM97" i="2" s="1"/>
  <c r="BO97" i="1"/>
  <c r="BN97" i="2" s="1"/>
  <c r="BP97" i="1"/>
  <c r="BO97" i="2" s="1"/>
  <c r="BQ97" i="1"/>
  <c r="BP97" i="2" s="1"/>
  <c r="BR97" i="1"/>
  <c r="BQ97" i="2" s="1"/>
  <c r="BS97" i="1"/>
  <c r="BR97" i="2" s="1"/>
  <c r="BL97" i="1"/>
  <c r="BK97" i="2" s="1"/>
  <c r="BK97" i="1"/>
  <c r="BJ97" i="2" s="1"/>
  <c r="BJ97" i="1"/>
  <c r="BI97" i="2" s="1"/>
  <c r="BT98" i="1"/>
  <c r="BS98" i="2" s="1"/>
  <c r="BS82" i="1"/>
  <c r="BR82" i="2" s="1"/>
  <c r="BR82" i="1"/>
  <c r="BQ82" i="2" s="1"/>
  <c r="BQ82" i="1"/>
  <c r="BP82" i="2" s="1"/>
  <c r="BP82" i="1"/>
  <c r="BO82" i="2" s="1"/>
  <c r="BO82" i="1"/>
  <c r="BN82" i="2" s="1"/>
  <c r="BN82" i="1"/>
  <c r="BM82" i="2" s="1"/>
  <c r="BM82" i="1"/>
  <c r="BL82" i="2" s="1"/>
  <c r="BL82" i="1"/>
  <c r="BK82" i="2" s="1"/>
  <c r="BK82" i="1"/>
  <c r="BJ82" i="2" s="1"/>
  <c r="BS60" i="1"/>
  <c r="BR60" i="2" s="1"/>
  <c r="BR60" i="1"/>
  <c r="BQ60" i="2" s="1"/>
  <c r="BQ60" i="1"/>
  <c r="BP60" i="2" s="1"/>
  <c r="BP60" i="1"/>
  <c r="BO60" i="2" s="1"/>
  <c r="BO60" i="1"/>
  <c r="BN60" i="2" s="1"/>
  <c r="BN60" i="1"/>
  <c r="BM60" i="2" s="1"/>
  <c r="BM60" i="1"/>
  <c r="BL60" i="2" s="1"/>
  <c r="BL60" i="1"/>
  <c r="BK60" i="2" s="1"/>
  <c r="BK60" i="1"/>
  <c r="BJ60" i="2" s="1"/>
  <c r="CS32" i="1"/>
  <c r="CG32" i="1"/>
  <c r="CF32" i="2" s="1"/>
  <c r="CF32" i="1"/>
  <c r="CE32" i="2" s="1"/>
  <c r="CE32" i="1"/>
  <c r="CD32" i="2" s="1"/>
  <c r="CD32" i="1"/>
  <c r="CC32" i="2" s="1"/>
  <c r="CC32" i="1"/>
  <c r="CB32" i="2" s="1"/>
  <c r="CB32" i="1"/>
  <c r="CA32" i="2" s="1"/>
  <c r="CA32" i="1"/>
  <c r="BZ32" i="2" s="1"/>
  <c r="BZ32" i="1"/>
  <c r="BY32" i="2" s="1"/>
  <c r="BY32" i="1"/>
  <c r="BX32" i="2" s="1"/>
  <c r="CS42" i="1"/>
  <c r="CP42" i="1"/>
  <c r="CP42" i="2" s="1"/>
  <c r="CO42" i="1"/>
  <c r="CO42" i="2" s="1"/>
  <c r="CN42" i="1"/>
  <c r="CN42" i="2" s="1"/>
  <c r="CM42" i="1"/>
  <c r="CM42" i="2" s="1"/>
  <c r="CL42" i="1"/>
  <c r="CL42" i="2" s="1"/>
  <c r="CK42" i="1"/>
  <c r="CK42" i="2" s="1"/>
  <c r="CJ42" i="1"/>
  <c r="CJ42" i="2" s="1"/>
  <c r="CI42" i="1"/>
  <c r="CI42" i="2" s="1"/>
  <c r="CH42" i="1"/>
  <c r="CH42" i="2" s="1"/>
  <c r="CS66" i="1"/>
  <c r="CS70" i="1"/>
  <c r="CS87" i="1"/>
  <c r="CS97" i="1"/>
  <c r="CP97" i="1"/>
  <c r="CP97" i="2" s="1"/>
  <c r="CO97" i="1"/>
  <c r="CO97" i="2" s="1"/>
  <c r="CN97" i="1"/>
  <c r="CN97" i="2" s="1"/>
  <c r="CM97" i="1"/>
  <c r="CM97" i="2" s="1"/>
  <c r="CL97" i="1"/>
  <c r="CL97" i="2" s="1"/>
  <c r="CK97" i="1"/>
  <c r="CK97" i="2" s="1"/>
  <c r="CJ97" i="1"/>
  <c r="CJ97" i="2" s="1"/>
  <c r="CI97" i="1"/>
  <c r="CI97" i="2" s="1"/>
  <c r="CG97" i="1"/>
  <c r="CF97" i="2" s="1"/>
  <c r="CF97" i="1"/>
  <c r="CE97" i="2" s="1"/>
  <c r="CE97" i="1"/>
  <c r="CD97" i="2" s="1"/>
  <c r="CD97" i="1"/>
  <c r="CC97" i="2" s="1"/>
  <c r="CC97" i="1"/>
  <c r="CB97" i="2" s="1"/>
  <c r="CB97" i="1"/>
  <c r="CA97" i="2" s="1"/>
  <c r="CA97" i="1"/>
  <c r="BZ97" i="2" s="1"/>
  <c r="BZ97" i="1"/>
  <c r="BY97" i="2" s="1"/>
  <c r="CS95" i="1"/>
  <c r="CP95" i="1"/>
  <c r="CP95" i="2" s="1"/>
  <c r="CO95" i="1"/>
  <c r="CO95" i="2" s="1"/>
  <c r="CN95" i="1"/>
  <c r="CN95" i="2" s="1"/>
  <c r="CM95" i="1"/>
  <c r="CM95" i="2" s="1"/>
  <c r="CK95" i="1"/>
  <c r="CK95" i="2" s="1"/>
  <c r="CI95" i="1"/>
  <c r="CI95" i="2" s="1"/>
  <c r="CG95" i="1"/>
  <c r="CF95" i="2" s="1"/>
  <c r="CF95" i="1"/>
  <c r="CE95" i="2" s="1"/>
  <c r="CE95" i="1"/>
  <c r="CD95" i="2" s="1"/>
  <c r="CD95" i="1"/>
  <c r="CC95" i="2" s="1"/>
  <c r="CB95" i="1"/>
  <c r="CA95" i="2" s="1"/>
  <c r="BZ95" i="1"/>
  <c r="BY95" i="2" s="1"/>
  <c r="CP85" i="1"/>
  <c r="CP85" i="2" s="1"/>
  <c r="CO85" i="1"/>
  <c r="CO85" i="2" s="1"/>
  <c r="CN85" i="1"/>
  <c r="CN85" i="2" s="1"/>
  <c r="CM85" i="1"/>
  <c r="CM85" i="2" s="1"/>
  <c r="CL85" i="1"/>
  <c r="CL85" i="2" s="1"/>
  <c r="CK85" i="1"/>
  <c r="CK85" i="2" s="1"/>
  <c r="CJ85" i="1"/>
  <c r="CJ85" i="2" s="1"/>
  <c r="CI85" i="1"/>
  <c r="CI85" i="2" s="1"/>
  <c r="CG85" i="1"/>
  <c r="CF85" i="2" s="1"/>
  <c r="CF85" i="1"/>
  <c r="CE85" i="2" s="1"/>
  <c r="CE85" i="1"/>
  <c r="CD85" i="2" s="1"/>
  <c r="CD85" i="1"/>
  <c r="CC85" i="2" s="1"/>
  <c r="CC85" i="1"/>
  <c r="CB85" i="2" s="1"/>
  <c r="CB85" i="1"/>
  <c r="CA85" i="2" s="1"/>
  <c r="CA85" i="1"/>
  <c r="BZ85" i="2" s="1"/>
  <c r="BZ85" i="1"/>
  <c r="BY85" i="2" s="1"/>
  <c r="CS76" i="1"/>
  <c r="CS74" i="1"/>
  <c r="CP74" i="1"/>
  <c r="CP74" i="2" s="1"/>
  <c r="CO74" i="1"/>
  <c r="CO74" i="2" s="1"/>
  <c r="CN74" i="1"/>
  <c r="CN74" i="2" s="1"/>
  <c r="CM74" i="1"/>
  <c r="CM74" i="2" s="1"/>
  <c r="CL74" i="1"/>
  <c r="CL74" i="2" s="1"/>
  <c r="CK74" i="1"/>
  <c r="CK74" i="2" s="1"/>
  <c r="CJ74" i="1"/>
  <c r="CJ74" i="2" s="1"/>
  <c r="CI74" i="1"/>
  <c r="CI74" i="2" s="1"/>
  <c r="CH74" i="1"/>
  <c r="CH74" i="2" s="1"/>
  <c r="CG74" i="1"/>
  <c r="CF74" i="2" s="1"/>
  <c r="CF74" i="1"/>
  <c r="CE74" i="2" s="1"/>
  <c r="CE74" i="1"/>
  <c r="CD74" i="2" s="1"/>
  <c r="CD74" i="1"/>
  <c r="CC74" i="2" s="1"/>
  <c r="CC74" i="1"/>
  <c r="CB74" i="2" s="1"/>
  <c r="CB74" i="1"/>
  <c r="CA74" i="2" s="1"/>
  <c r="CA74" i="1"/>
  <c r="BZ74" i="2" s="1"/>
  <c r="BZ74" i="1"/>
  <c r="BY74" i="2" s="1"/>
  <c r="BY74" i="1"/>
  <c r="BX74" i="2" s="1"/>
  <c r="CS63" i="1"/>
  <c r="CS57" i="1"/>
  <c r="CS55" i="1" s="1"/>
  <c r="CP57" i="1"/>
  <c r="CO57" i="1"/>
  <c r="CN57" i="1"/>
  <c r="CM57" i="1"/>
  <c r="CL57" i="1"/>
  <c r="CK57" i="1"/>
  <c r="CJ57" i="1"/>
  <c r="CI57" i="1"/>
  <c r="CH57" i="1"/>
  <c r="CH57" i="2" s="1"/>
  <c r="CG57" i="1"/>
  <c r="CF57" i="1"/>
  <c r="CE57" i="1"/>
  <c r="CD57" i="1"/>
  <c r="CC57" i="1"/>
  <c r="CB57" i="1"/>
  <c r="CA57" i="1"/>
  <c r="BZ57" i="1"/>
  <c r="BY57" i="1"/>
  <c r="CS50" i="1"/>
  <c r="CP50" i="1"/>
  <c r="CP50" i="2" s="1"/>
  <c r="CO50" i="1"/>
  <c r="CO50" i="2" s="1"/>
  <c r="CN50" i="1"/>
  <c r="CN50" i="2" s="1"/>
  <c r="CM50" i="1"/>
  <c r="CM50" i="2" s="1"/>
  <c r="CL50" i="1"/>
  <c r="CL50" i="2" s="1"/>
  <c r="CK50" i="1"/>
  <c r="CK50" i="2" s="1"/>
  <c r="CJ50" i="1"/>
  <c r="CJ50" i="2" s="1"/>
  <c r="CI50" i="1"/>
  <c r="CI50" i="2" s="1"/>
  <c r="CH50" i="1"/>
  <c r="CH50" i="2" s="1"/>
  <c r="CG50" i="1"/>
  <c r="CF50" i="2" s="1"/>
  <c r="CF50" i="1"/>
  <c r="CE50" i="2" s="1"/>
  <c r="CE50" i="1"/>
  <c r="CD50" i="2" s="1"/>
  <c r="CD50" i="1"/>
  <c r="CC50" i="2" s="1"/>
  <c r="CC50" i="1"/>
  <c r="CB50" i="2" s="1"/>
  <c r="CB50" i="1"/>
  <c r="CA50" i="2" s="1"/>
  <c r="CA50" i="1"/>
  <c r="BZ50" i="2" s="1"/>
  <c r="BZ50" i="1"/>
  <c r="BY50" i="2" s="1"/>
  <c r="BY50" i="1"/>
  <c r="BX50" i="2" s="1"/>
  <c r="CS48" i="1"/>
  <c r="CG48" i="1"/>
  <c r="CF48" i="2" s="1"/>
  <c r="CF48" i="1"/>
  <c r="CE48" i="2" s="1"/>
  <c r="CE48" i="1"/>
  <c r="CD48" i="2" s="1"/>
  <c r="CD48" i="1"/>
  <c r="CC48" i="2" s="1"/>
  <c r="CC48" i="1"/>
  <c r="CB48" i="2" s="1"/>
  <c r="CB48" i="1"/>
  <c r="CA48" i="2" s="1"/>
  <c r="CA48" i="1"/>
  <c r="BZ48" i="2" s="1"/>
  <c r="BZ48" i="1"/>
  <c r="BY48" i="2" s="1"/>
  <c r="BY48" i="1"/>
  <c r="BX48" i="2" s="1"/>
  <c r="CS46" i="1"/>
  <c r="CP46" i="1"/>
  <c r="CP46" i="2" s="1"/>
  <c r="CO46" i="1"/>
  <c r="CO46" i="2" s="1"/>
  <c r="CN46" i="1"/>
  <c r="CN46" i="2" s="1"/>
  <c r="CM46" i="1"/>
  <c r="CM46" i="2" s="1"/>
  <c r="CL46" i="1"/>
  <c r="CL46" i="2" s="1"/>
  <c r="CK46" i="1"/>
  <c r="CK46" i="2" s="1"/>
  <c r="CJ46" i="1"/>
  <c r="CJ46" i="2" s="1"/>
  <c r="CI46" i="1"/>
  <c r="CI46" i="2" s="1"/>
  <c r="CH46" i="1"/>
  <c r="CH46" i="2" s="1"/>
  <c r="CG46" i="1"/>
  <c r="CF46" i="2" s="1"/>
  <c r="CF46" i="1"/>
  <c r="CE46" i="2" s="1"/>
  <c r="CE46" i="1"/>
  <c r="CD46" i="2" s="1"/>
  <c r="CD46" i="1"/>
  <c r="CC46" i="2" s="1"/>
  <c r="CC46" i="1"/>
  <c r="CB46" i="2" s="1"/>
  <c r="CB46" i="1"/>
  <c r="CA46" i="2" s="1"/>
  <c r="CA46" i="1"/>
  <c r="BZ46" i="2" s="1"/>
  <c r="BZ46" i="1"/>
  <c r="BY46" i="2" s="1"/>
  <c r="BY46" i="1"/>
  <c r="BX46" i="2" s="1"/>
  <c r="CG39" i="1"/>
  <c r="CF39" i="2" s="1"/>
  <c r="CF39" i="1"/>
  <c r="CE39" i="2" s="1"/>
  <c r="CE39" i="1"/>
  <c r="CD39" i="2" s="1"/>
  <c r="CD39" i="1"/>
  <c r="CC39" i="2" s="1"/>
  <c r="CC39" i="1"/>
  <c r="CB39" i="2" s="1"/>
  <c r="CB39" i="1"/>
  <c r="CA39" i="2" s="1"/>
  <c r="CA39" i="1"/>
  <c r="BZ39" i="2" s="1"/>
  <c r="BZ39" i="1"/>
  <c r="BY39" i="2" s="1"/>
  <c r="BY39" i="1"/>
  <c r="BX39" i="2" s="1"/>
  <c r="CS30" i="1"/>
  <c r="CP30" i="1"/>
  <c r="CP30" i="2" s="1"/>
  <c r="CO30" i="1"/>
  <c r="CO30" i="2" s="1"/>
  <c r="CN30" i="1"/>
  <c r="CN30" i="2" s="1"/>
  <c r="CM30" i="1"/>
  <c r="CM30" i="2" s="1"/>
  <c r="CL30" i="1"/>
  <c r="CL30" i="2" s="1"/>
  <c r="CK30" i="1"/>
  <c r="CK30" i="2" s="1"/>
  <c r="CJ30" i="1"/>
  <c r="CJ30" i="2" s="1"/>
  <c r="CI30" i="1"/>
  <c r="CI30" i="2" s="1"/>
  <c r="CH30" i="1"/>
  <c r="CH30" i="2" s="1"/>
  <c r="CG30" i="1"/>
  <c r="CF30" i="2" s="1"/>
  <c r="CF30" i="1"/>
  <c r="CE30" i="2" s="1"/>
  <c r="CE30" i="1"/>
  <c r="CD30" i="2" s="1"/>
  <c r="CD30" i="1"/>
  <c r="CC30" i="2" s="1"/>
  <c r="CC30" i="1"/>
  <c r="CB30" i="2" s="1"/>
  <c r="CB30" i="1"/>
  <c r="CA30" i="2" s="1"/>
  <c r="CA30" i="1"/>
  <c r="BZ30" i="2" s="1"/>
  <c r="BZ30" i="1"/>
  <c r="BY30" i="2" s="1"/>
  <c r="BY30" i="1"/>
  <c r="BX30" i="2" s="1"/>
  <c r="CS21" i="1"/>
  <c r="CP21" i="1"/>
  <c r="CP21" i="2" s="1"/>
  <c r="CO21" i="1"/>
  <c r="CO21" i="2" s="1"/>
  <c r="CN21" i="1"/>
  <c r="CN21" i="2" s="1"/>
  <c r="CM21" i="1"/>
  <c r="CM21" i="2" s="1"/>
  <c r="CL21" i="1"/>
  <c r="CL21" i="2" s="1"/>
  <c r="CK21" i="1"/>
  <c r="CK21" i="2" s="1"/>
  <c r="CJ21" i="1"/>
  <c r="CJ21" i="2" s="1"/>
  <c r="CI21" i="1"/>
  <c r="CI21" i="2" s="1"/>
  <c r="CG21" i="1"/>
  <c r="CF21" i="2" s="1"/>
  <c r="CF21" i="1"/>
  <c r="CE21" i="2" s="1"/>
  <c r="CE21" i="1"/>
  <c r="CD21" i="2" s="1"/>
  <c r="CD21" i="1"/>
  <c r="CC21" i="2" s="1"/>
  <c r="CC21" i="1"/>
  <c r="CB21" i="2" s="1"/>
  <c r="CB21" i="1"/>
  <c r="CA21" i="2" s="1"/>
  <c r="CA21" i="1"/>
  <c r="BZ21" i="2" s="1"/>
  <c r="BZ21" i="1"/>
  <c r="BY21" i="2" s="1"/>
  <c r="CS19" i="1"/>
  <c r="CP19" i="1"/>
  <c r="CP19" i="2" s="1"/>
  <c r="CO19" i="1"/>
  <c r="CO19" i="2" s="1"/>
  <c r="CN19" i="1"/>
  <c r="CN19" i="2" s="1"/>
  <c r="CM19" i="1"/>
  <c r="CM19" i="2" s="1"/>
  <c r="CL19" i="1"/>
  <c r="CL19" i="2" s="1"/>
  <c r="CK19" i="1"/>
  <c r="CK19" i="2" s="1"/>
  <c r="CJ19" i="1"/>
  <c r="CJ19" i="2" s="1"/>
  <c r="CI19" i="1"/>
  <c r="CI19" i="2" s="1"/>
  <c r="CH19" i="1"/>
  <c r="CH19" i="2" s="1"/>
  <c r="CG19" i="1"/>
  <c r="CF19" i="2" s="1"/>
  <c r="CF19" i="1"/>
  <c r="CE19" i="2" s="1"/>
  <c r="CE19" i="1"/>
  <c r="CD19" i="2" s="1"/>
  <c r="CD19" i="1"/>
  <c r="CC19" i="2" s="1"/>
  <c r="CC19" i="1"/>
  <c r="CB19" i="2" s="1"/>
  <c r="CB19" i="1"/>
  <c r="CA19" i="2" s="1"/>
  <c r="CA19" i="1"/>
  <c r="BZ19" i="2" s="1"/>
  <c r="BZ19" i="1"/>
  <c r="BY19" i="2" s="1"/>
  <c r="BY19" i="1"/>
  <c r="BX19" i="2" s="1"/>
  <c r="CP16" i="2"/>
  <c r="CO16" i="2"/>
  <c r="CN16" i="2"/>
  <c r="CM16" i="2"/>
  <c r="CL16" i="2"/>
  <c r="CK16" i="2"/>
  <c r="CJ16" i="2"/>
  <c r="CI16" i="2"/>
  <c r="CH16" i="2"/>
  <c r="CF16" i="2"/>
  <c r="CE16" i="2"/>
  <c r="CD16" i="2"/>
  <c r="CC16" i="2"/>
  <c r="CB16" i="2"/>
  <c r="CA16" i="2"/>
  <c r="BZ16" i="2"/>
  <c r="BY16" i="2"/>
  <c r="BX16" i="2"/>
  <c r="CS11" i="1"/>
  <c r="CP11" i="1"/>
  <c r="CP11" i="2" s="1"/>
  <c r="CO11" i="1"/>
  <c r="CO11" i="2" s="1"/>
  <c r="CN11" i="1"/>
  <c r="CN11" i="2" s="1"/>
  <c r="CM11" i="1"/>
  <c r="CM11" i="2" s="1"/>
  <c r="CL11" i="1"/>
  <c r="CL11" i="2" s="1"/>
  <c r="CK11" i="1"/>
  <c r="CK11" i="2" s="1"/>
  <c r="CJ11" i="1"/>
  <c r="CJ11" i="2" s="1"/>
  <c r="CI11" i="1"/>
  <c r="CI11" i="2" s="1"/>
  <c r="CH11" i="1"/>
  <c r="CH11" i="2" s="1"/>
  <c r="CG11" i="1"/>
  <c r="CF11" i="2" s="1"/>
  <c r="CF11" i="1"/>
  <c r="CE11" i="2" s="1"/>
  <c r="CE11" i="1"/>
  <c r="CD11" i="2" s="1"/>
  <c r="CD11" i="1"/>
  <c r="CC11" i="2" s="1"/>
  <c r="CC11" i="1"/>
  <c r="CB11" i="2" s="1"/>
  <c r="CB11" i="1"/>
  <c r="CA11" i="2" s="1"/>
  <c r="CA11" i="1"/>
  <c r="BZ11" i="2" s="1"/>
  <c r="BZ11" i="1"/>
  <c r="BY11" i="2" s="1"/>
  <c r="BY11" i="1"/>
  <c r="BX11" i="2" s="1"/>
  <c r="CP82" i="1"/>
  <c r="CP82" i="2" s="1"/>
  <c r="CO82" i="1"/>
  <c r="CO82" i="2" s="1"/>
  <c r="CN82" i="1"/>
  <c r="CN82" i="2" s="1"/>
  <c r="CM82" i="1"/>
  <c r="CM82" i="2" s="1"/>
  <c r="CL82" i="1"/>
  <c r="CL82" i="2" s="1"/>
  <c r="CK82" i="1"/>
  <c r="CK82" i="2" s="1"/>
  <c r="CJ82" i="1"/>
  <c r="CJ82" i="2" s="1"/>
  <c r="CI82" i="1"/>
  <c r="CI82" i="2" s="1"/>
  <c r="CH82" i="1"/>
  <c r="CH82" i="2" s="1"/>
  <c r="CS78" i="1"/>
  <c r="CG78" i="1"/>
  <c r="CF78" i="2" s="1"/>
  <c r="CF78" i="1"/>
  <c r="CE78" i="2" s="1"/>
  <c r="CE78" i="1"/>
  <c r="CD78" i="1"/>
  <c r="CC78" i="2" s="1"/>
  <c r="CC78" i="1"/>
  <c r="CB78" i="2" s="1"/>
  <c r="CB78" i="1"/>
  <c r="CA78" i="2" s="1"/>
  <c r="CA78" i="1"/>
  <c r="BZ78" i="2" s="1"/>
  <c r="BZ78" i="1"/>
  <c r="BY78" i="2" s="1"/>
  <c r="BY78" i="1"/>
  <c r="BX78" i="2" s="1"/>
  <c r="CS60" i="1"/>
  <c r="CS59" i="1" s="1"/>
  <c r="CP60" i="1"/>
  <c r="CP60" i="2" s="1"/>
  <c r="CO60" i="1"/>
  <c r="CO60" i="2" s="1"/>
  <c r="CN60" i="1"/>
  <c r="CN60" i="2" s="1"/>
  <c r="CM60" i="1"/>
  <c r="CM60" i="2" s="1"/>
  <c r="CL60" i="1"/>
  <c r="CL60" i="2" s="1"/>
  <c r="CK60" i="1"/>
  <c r="CK60" i="2" s="1"/>
  <c r="CJ60" i="1"/>
  <c r="CJ60" i="2" s="1"/>
  <c r="CI60" i="1"/>
  <c r="CI60" i="2" s="1"/>
  <c r="CH60" i="1"/>
  <c r="CH60" i="2" s="1"/>
  <c r="CG60" i="1"/>
  <c r="CF60" i="2" s="1"/>
  <c r="CF60" i="1"/>
  <c r="CE60" i="2" s="1"/>
  <c r="CE60" i="1"/>
  <c r="CD60" i="2" s="1"/>
  <c r="CD60" i="1"/>
  <c r="CC60" i="2" s="1"/>
  <c r="CC60" i="1"/>
  <c r="CB60" i="2" s="1"/>
  <c r="CB60" i="1"/>
  <c r="CA60" i="2" s="1"/>
  <c r="CA60" i="1"/>
  <c r="BZ60" i="2" s="1"/>
  <c r="BZ60" i="1"/>
  <c r="BY60" i="2" s="1"/>
  <c r="BY60" i="1"/>
  <c r="BX60" i="2" s="1"/>
  <c r="CS5" i="1"/>
  <c r="CJ49" i="1"/>
  <c r="CK49" i="1"/>
  <c r="CL49" i="1"/>
  <c r="CM49" i="1"/>
  <c r="CN49" i="1"/>
  <c r="CO49" i="1"/>
  <c r="CP49" i="1"/>
  <c r="CI49" i="1"/>
  <c r="CH49" i="1"/>
  <c r="CP81" i="1"/>
  <c r="CJ81" i="1"/>
  <c r="CK81" i="1"/>
  <c r="CL81" i="1"/>
  <c r="CM81" i="1"/>
  <c r="CN81" i="1"/>
  <c r="CO81" i="1"/>
  <c r="CI81" i="1"/>
  <c r="CH81" i="1"/>
  <c r="CH81" i="2" s="1"/>
  <c r="CJ88" i="1"/>
  <c r="CK88" i="1"/>
  <c r="CL88" i="1"/>
  <c r="CM88" i="1"/>
  <c r="CN88" i="1"/>
  <c r="CO88" i="1"/>
  <c r="CP88" i="1"/>
  <c r="CI88" i="1"/>
  <c r="CH88" i="1"/>
  <c r="CH88" i="2" s="1"/>
  <c r="CD78" i="2" l="1"/>
  <c r="CG78" i="2" s="1"/>
  <c r="CG11" i="2"/>
  <c r="CG19" i="2"/>
  <c r="CG30" i="2"/>
  <c r="CG46" i="2"/>
  <c r="CG74" i="2"/>
  <c r="CG16" i="2"/>
  <c r="CG50" i="2"/>
  <c r="CG52" i="2"/>
  <c r="CG60" i="2"/>
  <c r="CG39" i="2"/>
  <c r="CG48" i="2"/>
  <c r="CG32" i="2"/>
  <c r="CY30" i="1"/>
  <c r="CY30" i="2" s="1"/>
  <c r="CK78" i="1"/>
  <c r="CK78" i="2" s="1"/>
  <c r="CK81" i="2"/>
  <c r="CN78" i="1"/>
  <c r="CN78" i="2" s="1"/>
  <c r="CN81" i="2"/>
  <c r="CL48" i="1"/>
  <c r="CL48" i="2" s="1"/>
  <c r="CL49" i="2"/>
  <c r="CI88" i="2"/>
  <c r="CP78" i="1"/>
  <c r="CP78" i="2" s="1"/>
  <c r="CP81" i="2"/>
  <c r="CO48" i="1"/>
  <c r="CO48" i="2" s="1"/>
  <c r="CO49" i="2"/>
  <c r="CP88" i="2"/>
  <c r="CL88" i="2"/>
  <c r="CI78" i="1"/>
  <c r="CI78" i="2" s="1"/>
  <c r="CI81" i="2"/>
  <c r="CL78" i="1"/>
  <c r="CL78" i="2" s="1"/>
  <c r="CL81" i="2"/>
  <c r="CH48" i="1"/>
  <c r="CH48" i="2" s="1"/>
  <c r="CH49" i="2"/>
  <c r="CN48" i="1"/>
  <c r="CN48" i="2" s="1"/>
  <c r="CN49" i="2"/>
  <c r="CJ48" i="1"/>
  <c r="CJ48" i="2" s="1"/>
  <c r="CJ49" i="2"/>
  <c r="BY55" i="1"/>
  <c r="BX55" i="2" s="1"/>
  <c r="BX57" i="2"/>
  <c r="CC55" i="1"/>
  <c r="CB55" i="2" s="1"/>
  <c r="CB57" i="2"/>
  <c r="CG55" i="1"/>
  <c r="CF55" i="2" s="1"/>
  <c r="CF57" i="2"/>
  <c r="CK55" i="1"/>
  <c r="CK55" i="2" s="1"/>
  <c r="CK57" i="2"/>
  <c r="CO55" i="1"/>
  <c r="CO55" i="2" s="1"/>
  <c r="CO57" i="2"/>
  <c r="BO55" i="1"/>
  <c r="BN55" i="2" s="1"/>
  <c r="BN57" i="2"/>
  <c r="BS55" i="1"/>
  <c r="BR55" i="2" s="1"/>
  <c r="BR57" i="2"/>
  <c r="CY74" i="1"/>
  <c r="CY74" i="2" s="1"/>
  <c r="CY75" i="2"/>
  <c r="CY50" i="1"/>
  <c r="CY50" i="2" s="1"/>
  <c r="CY51" i="2"/>
  <c r="CI48" i="1"/>
  <c r="CI48" i="2" s="1"/>
  <c r="CI49" i="2"/>
  <c r="BZ55" i="1"/>
  <c r="BY55" i="2" s="1"/>
  <c r="BY57" i="2"/>
  <c r="CD55" i="1"/>
  <c r="CC55" i="2" s="1"/>
  <c r="CC57" i="2"/>
  <c r="CL55" i="1"/>
  <c r="CL55" i="2" s="1"/>
  <c r="CL57" i="2"/>
  <c r="CP55" i="1"/>
  <c r="CP55" i="2" s="1"/>
  <c r="CP57" i="2"/>
  <c r="BL55" i="1"/>
  <c r="BK55" i="2" s="1"/>
  <c r="BK57" i="2"/>
  <c r="BP55" i="1"/>
  <c r="BO55" i="2" s="1"/>
  <c r="BO57" i="2"/>
  <c r="CK88" i="2"/>
  <c r="CN88" i="2"/>
  <c r="CP48" i="1"/>
  <c r="CP48" i="2" s="1"/>
  <c r="CP49" i="2"/>
  <c r="CA55" i="1"/>
  <c r="BZ55" i="2" s="1"/>
  <c r="BZ57" i="2"/>
  <c r="CE55" i="1"/>
  <c r="CD55" i="2" s="1"/>
  <c r="CD57" i="2"/>
  <c r="CI55" i="1"/>
  <c r="CI55" i="2" s="1"/>
  <c r="CI57" i="2"/>
  <c r="CM55" i="1"/>
  <c r="CM55" i="2" s="1"/>
  <c r="CM57" i="2"/>
  <c r="BM55" i="1"/>
  <c r="BL55" i="2" s="1"/>
  <c r="BL57" i="2"/>
  <c r="BQ55" i="1"/>
  <c r="BP55" i="2" s="1"/>
  <c r="BP57" i="2"/>
  <c r="CO88" i="2"/>
  <c r="CO78" i="1"/>
  <c r="CO78" i="2" s="1"/>
  <c r="CO81" i="2"/>
  <c r="CM48" i="1"/>
  <c r="CM48" i="2" s="1"/>
  <c r="CM49" i="2"/>
  <c r="CJ88" i="2"/>
  <c r="CJ78" i="1"/>
  <c r="CJ78" i="2" s="1"/>
  <c r="CJ81" i="2"/>
  <c r="CM88" i="2"/>
  <c r="CM78" i="1"/>
  <c r="CM78" i="2" s="1"/>
  <c r="CM81" i="2"/>
  <c r="CK48" i="1"/>
  <c r="CK48" i="2" s="1"/>
  <c r="CK49" i="2"/>
  <c r="CB55" i="1"/>
  <c r="CA55" i="2" s="1"/>
  <c r="CA57" i="2"/>
  <c r="CF55" i="1"/>
  <c r="CE55" i="2" s="1"/>
  <c r="CE57" i="2"/>
  <c r="CJ55" i="1"/>
  <c r="CJ55" i="2" s="1"/>
  <c r="CJ57" i="2"/>
  <c r="CN55" i="1"/>
  <c r="CN55" i="2" s="1"/>
  <c r="CN57" i="2"/>
  <c r="BJ55" i="1"/>
  <c r="BI55" i="2" s="1"/>
  <c r="BI57" i="2"/>
  <c r="BN55" i="1"/>
  <c r="BM55" i="2" s="1"/>
  <c r="BM57" i="2"/>
  <c r="BR55" i="1"/>
  <c r="BQ55" i="2" s="1"/>
  <c r="BQ57" i="2"/>
  <c r="BJ37" i="1"/>
  <c r="BI37" i="2" s="1"/>
  <c r="BI39" i="2"/>
  <c r="CY55" i="1"/>
  <c r="CY55" i="2" s="1"/>
  <c r="CY57" i="2"/>
  <c r="CA9" i="1"/>
  <c r="BY9" i="2"/>
  <c r="BZ5" i="1"/>
  <c r="BY5" i="2" s="1"/>
  <c r="BN9" i="1"/>
  <c r="BL9" i="2"/>
  <c r="BT82" i="1"/>
  <c r="BS82" i="2" s="1"/>
  <c r="BT19" i="1"/>
  <c r="BS19" i="2" s="1"/>
  <c r="CS41" i="1"/>
  <c r="BT78" i="1"/>
  <c r="BS78" i="2" s="1"/>
  <c r="CQ81" i="1"/>
  <c r="CH78" i="1"/>
  <c r="BT97" i="1"/>
  <c r="BS97" i="2" s="1"/>
  <c r="BT74" i="1"/>
  <c r="BS74" i="2" s="1"/>
  <c r="CS4" i="1"/>
  <c r="CQ16" i="1"/>
  <c r="CQ16" i="2" s="1"/>
  <c r="CQ19" i="1"/>
  <c r="CQ19" i="2" s="1"/>
  <c r="BT32" i="1"/>
  <c r="BS32" i="2" s="1"/>
  <c r="CY42" i="1"/>
  <c r="CY42" i="2" s="1"/>
  <c r="BT52" i="1"/>
  <c r="BS52" i="2" s="1"/>
  <c r="CQ49" i="1"/>
  <c r="CQ60" i="1"/>
  <c r="CQ60" i="2" s="1"/>
  <c r="CQ88" i="1"/>
  <c r="CQ82" i="1"/>
  <c r="CQ82" i="2" s="1"/>
  <c r="CO41" i="1"/>
  <c r="CO41" i="2" s="1"/>
  <c r="BJ59" i="1"/>
  <c r="CQ42" i="1"/>
  <c r="CQ42" i="2" s="1"/>
  <c r="CH41" i="1"/>
  <c r="CH41" i="2" s="1"/>
  <c r="CL41" i="1"/>
  <c r="CL41" i="2" s="1"/>
  <c r="CS25" i="1"/>
  <c r="CQ11" i="1"/>
  <c r="CQ11" i="2" s="1"/>
  <c r="CQ57" i="1"/>
  <c r="CQ57" i="2" s="1"/>
  <c r="CH55" i="1"/>
  <c r="CH55" i="2" s="1"/>
  <c r="CQ74" i="1"/>
  <c r="CQ74" i="2" s="1"/>
  <c r="CI41" i="1"/>
  <c r="CI41" i="2" s="1"/>
  <c r="BT95" i="1"/>
  <c r="BS95" i="2" s="1"/>
  <c r="BT76" i="1"/>
  <c r="BS76" i="2" s="1"/>
  <c r="BT50" i="1"/>
  <c r="BS50" i="2" s="1"/>
  <c r="BT30" i="1"/>
  <c r="BS30" i="2" s="1"/>
  <c r="BT16" i="1"/>
  <c r="BS16" i="2" s="1"/>
  <c r="CQ50" i="1"/>
  <c r="CQ50" i="2" s="1"/>
  <c r="CS54" i="1"/>
  <c r="CJ41" i="1"/>
  <c r="CJ41" i="2" s="1"/>
  <c r="CN41" i="1"/>
  <c r="CN41" i="2" s="1"/>
  <c r="BT60" i="1"/>
  <c r="BS60" i="2" s="1"/>
  <c r="BT46" i="1"/>
  <c r="BS46" i="2" s="1"/>
  <c r="BT21" i="1"/>
  <c r="BS21" i="2" s="1"/>
  <c r="BJ4" i="1"/>
  <c r="BI4" i="2" s="1"/>
  <c r="CQ30" i="1"/>
  <c r="CQ30" i="2" s="1"/>
  <c r="CQ46" i="1"/>
  <c r="CQ46" i="2" s="1"/>
  <c r="BT85" i="1"/>
  <c r="BS85" i="2" s="1"/>
  <c r="BT57" i="1"/>
  <c r="BS57" i="2" s="1"/>
  <c r="BK55" i="1"/>
  <c r="BJ55" i="2" s="1"/>
  <c r="BT48" i="1"/>
  <c r="BS48" i="2" s="1"/>
  <c r="BT39" i="1"/>
  <c r="BS39" i="2" s="1"/>
  <c r="BK37" i="1"/>
  <c r="BJ37" i="2" s="1"/>
  <c r="BT91" i="1"/>
  <c r="BS91" i="2" s="1"/>
  <c r="BT87" i="1"/>
  <c r="BS87" i="2" s="1"/>
  <c r="CQ52" i="1"/>
  <c r="CQ52" i="2" s="1"/>
  <c r="CY60" i="1"/>
  <c r="CY60" i="2" s="1"/>
  <c r="CG57" i="2" l="1"/>
  <c r="CG55" i="2"/>
  <c r="CM41" i="1"/>
  <c r="CM41" i="2" s="1"/>
  <c r="CY88" i="1"/>
  <c r="CQ88" i="2"/>
  <c r="CP41" i="1"/>
  <c r="CP41" i="2" s="1"/>
  <c r="CQ48" i="1"/>
  <c r="CQ48" i="2" s="1"/>
  <c r="CY49" i="1"/>
  <c r="CQ49" i="2"/>
  <c r="CY81" i="1"/>
  <c r="CQ81" i="2"/>
  <c r="BJ54" i="1"/>
  <c r="BI54" i="2" s="1"/>
  <c r="BI59" i="2"/>
  <c r="CQ78" i="1"/>
  <c r="CH78" i="2"/>
  <c r="CK41" i="1"/>
  <c r="CK41" i="2" s="1"/>
  <c r="BO9" i="1"/>
  <c r="BM9" i="2"/>
  <c r="BN5" i="1"/>
  <c r="CB9" i="1"/>
  <c r="BZ9" i="2"/>
  <c r="CJ9" i="1"/>
  <c r="CA5" i="1"/>
  <c r="BZ5" i="2" s="1"/>
  <c r="BT55" i="1"/>
  <c r="BS55" i="2" s="1"/>
  <c r="CQ55" i="1"/>
  <c r="CQ55" i="2" s="1"/>
  <c r="CQ35" i="1"/>
  <c r="CI35" i="1"/>
  <c r="CI35" i="2" s="1"/>
  <c r="CJ35" i="1"/>
  <c r="CJ35" i="2" s="1"/>
  <c r="CK35" i="1"/>
  <c r="CK35" i="2" s="1"/>
  <c r="CL35" i="1"/>
  <c r="CL35" i="2" s="1"/>
  <c r="CM35" i="1"/>
  <c r="CM35" i="2" s="1"/>
  <c r="CN35" i="1"/>
  <c r="CN35" i="2" s="1"/>
  <c r="CO35" i="1"/>
  <c r="CO35" i="2" s="1"/>
  <c r="CP35" i="1"/>
  <c r="CP35" i="2" s="1"/>
  <c r="CH35" i="1"/>
  <c r="CH35" i="2" s="1"/>
  <c r="BT49" i="1"/>
  <c r="BS49" i="2" s="1"/>
  <c r="CQ78" i="2" l="1"/>
  <c r="CQ41" i="1"/>
  <c r="CQ41" i="2" s="1"/>
  <c r="CY78" i="1"/>
  <c r="CY78" i="2" s="1"/>
  <c r="CY81" i="2"/>
  <c r="CY35" i="1"/>
  <c r="CY35" i="2" s="1"/>
  <c r="CQ35" i="2"/>
  <c r="CY48" i="1"/>
  <c r="CY49" i="2"/>
  <c r="CY88" i="2"/>
  <c r="CJ9" i="2"/>
  <c r="BM5" i="2"/>
  <c r="CC9" i="1"/>
  <c r="CA9" i="2"/>
  <c r="CB5" i="1"/>
  <c r="CA5" i="2" s="1"/>
  <c r="CK9" i="1"/>
  <c r="CK9" i="2" s="1"/>
  <c r="BP9" i="1"/>
  <c r="BN9" i="2"/>
  <c r="BO5" i="1"/>
  <c r="BN5" i="2" s="1"/>
  <c r="BS23" i="1"/>
  <c r="BR23" i="2" s="1"/>
  <c r="BR23" i="1"/>
  <c r="BQ23" i="2" s="1"/>
  <c r="BQ23" i="1"/>
  <c r="BP23" i="2" s="1"/>
  <c r="BP23" i="1"/>
  <c r="BO23" i="2" s="1"/>
  <c r="BO23" i="1"/>
  <c r="BN23" i="2" s="1"/>
  <c r="BN23" i="1"/>
  <c r="BM23" i="2" s="1"/>
  <c r="BM23" i="1"/>
  <c r="BL23" i="2" s="1"/>
  <c r="BL23" i="1"/>
  <c r="BK23" i="2" s="1"/>
  <c r="BK23" i="1"/>
  <c r="BJ23" i="2" s="1"/>
  <c r="BY14" i="1"/>
  <c r="BK14" i="1"/>
  <c r="BJ14" i="2" s="1"/>
  <c r="CP6" i="1"/>
  <c r="CP6" i="2" s="1"/>
  <c r="CO6" i="1"/>
  <c r="CO6" i="2" s="1"/>
  <c r="CN6" i="1"/>
  <c r="CN6" i="2" s="1"/>
  <c r="CM6" i="1"/>
  <c r="CM6" i="2" s="1"/>
  <c r="CL6" i="1"/>
  <c r="CL6" i="2" s="1"/>
  <c r="CK6" i="1"/>
  <c r="CK6" i="2" s="1"/>
  <c r="CJ6" i="1"/>
  <c r="CI6" i="1"/>
  <c r="CH6" i="1"/>
  <c r="BX13" i="2" l="1"/>
  <c r="BX14" i="2"/>
  <c r="CY48" i="2"/>
  <c r="CY41" i="1"/>
  <c r="CY41" i="2" s="1"/>
  <c r="CH5" i="1"/>
  <c r="CH5" i="2" s="1"/>
  <c r="CH6" i="2"/>
  <c r="CI5" i="1"/>
  <c r="CI5" i="2" s="1"/>
  <c r="CI6" i="2"/>
  <c r="CJ5" i="1"/>
  <c r="CJ5" i="2" s="1"/>
  <c r="CJ6" i="2"/>
  <c r="BL14" i="1"/>
  <c r="BK14" i="2" s="1"/>
  <c r="CK5" i="1"/>
  <c r="CK5" i="2" s="1"/>
  <c r="BQ9" i="1"/>
  <c r="BO9" i="2"/>
  <c r="BP5" i="1"/>
  <c r="CD9" i="1"/>
  <c r="CB9" i="2"/>
  <c r="CC5" i="1"/>
  <c r="CB5" i="2" s="1"/>
  <c r="CL9" i="1"/>
  <c r="CL9" i="2" s="1"/>
  <c r="BJ13" i="2"/>
  <c r="BT23" i="1"/>
  <c r="BS23" i="2" s="1"/>
  <c r="CQ6" i="1"/>
  <c r="CI24" i="1"/>
  <c r="CM24" i="1"/>
  <c r="CH24" i="1"/>
  <c r="CL24" i="1"/>
  <c r="CP24" i="1"/>
  <c r="CH14" i="1"/>
  <c r="CK24" i="1"/>
  <c r="CO24" i="1"/>
  <c r="CJ24" i="1"/>
  <c r="CN24" i="1"/>
  <c r="BZ14" i="1"/>
  <c r="BK13" i="2" l="1"/>
  <c r="BK4" i="1"/>
  <c r="BJ4" i="2" s="1"/>
  <c r="CN23" i="1"/>
  <c r="CN23" i="2" s="1"/>
  <c r="CN24" i="2"/>
  <c r="BL4" i="1"/>
  <c r="BK4" i="2" s="1"/>
  <c r="BY14" i="2"/>
  <c r="CK23" i="1"/>
  <c r="CK23" i="2" s="1"/>
  <c r="CK24" i="2"/>
  <c r="CH23" i="1"/>
  <c r="CH23" i="2" s="1"/>
  <c r="CH24" i="2"/>
  <c r="CY6" i="1"/>
  <c r="CY6" i="2" s="1"/>
  <c r="CQ6" i="2"/>
  <c r="CH13" i="2"/>
  <c r="CH14" i="2"/>
  <c r="CJ23" i="1"/>
  <c r="CJ23" i="2" s="1"/>
  <c r="CJ24" i="2"/>
  <c r="CP23" i="1"/>
  <c r="CP23" i="2" s="1"/>
  <c r="CP24" i="2"/>
  <c r="CM23" i="1"/>
  <c r="CM23" i="2" s="1"/>
  <c r="CM24" i="2"/>
  <c r="BM14" i="1"/>
  <c r="BL14" i="2" s="1"/>
  <c r="CO23" i="1"/>
  <c r="CO23" i="2" s="1"/>
  <c r="CO24" i="2"/>
  <c r="CL23" i="1"/>
  <c r="CL23" i="2" s="1"/>
  <c r="CL24" i="2"/>
  <c r="CI23" i="1"/>
  <c r="CI23" i="2" s="1"/>
  <c r="CI24" i="2"/>
  <c r="CE9" i="1"/>
  <c r="CC9" i="2"/>
  <c r="CD5" i="1"/>
  <c r="CC5" i="2" s="1"/>
  <c r="CM9" i="1"/>
  <c r="BR9" i="1"/>
  <c r="BP9" i="2"/>
  <c r="BQ5" i="1"/>
  <c r="BP5" i="2" s="1"/>
  <c r="BO5" i="2"/>
  <c r="CL5" i="1"/>
  <c r="CL5" i="2" s="1"/>
  <c r="CQ24" i="1"/>
  <c r="BL13" i="2"/>
  <c r="CI14" i="1"/>
  <c r="CA14" i="1"/>
  <c r="BN14" i="1" l="1"/>
  <c r="BM14" i="2" s="1"/>
  <c r="CY24" i="1"/>
  <c r="CQ24" i="2"/>
  <c r="CQ23" i="1"/>
  <c r="CQ23" i="2" s="1"/>
  <c r="BZ14" i="2"/>
  <c r="CI14" i="2"/>
  <c r="BZ4" i="1"/>
  <c r="BY4" i="2" s="1"/>
  <c r="BY13" i="2"/>
  <c r="BS9" i="1"/>
  <c r="BQ9" i="2"/>
  <c r="BR5" i="1"/>
  <c r="BQ5" i="2" s="1"/>
  <c r="CF9" i="1"/>
  <c r="CD9" i="2"/>
  <c r="CN9" i="1"/>
  <c r="CE5" i="1"/>
  <c r="CD5" i="2" s="1"/>
  <c r="CM9" i="2"/>
  <c r="CM5" i="1"/>
  <c r="BM4" i="1"/>
  <c r="BL4" i="2" s="1"/>
  <c r="BO14" i="1"/>
  <c r="BN14" i="2" s="1"/>
  <c r="CJ14" i="1"/>
  <c r="CB14" i="1"/>
  <c r="BN4" i="1" l="1"/>
  <c r="BM4" i="2" s="1"/>
  <c r="CA4" i="1"/>
  <c r="BZ4" i="2" s="1"/>
  <c r="BZ13" i="2"/>
  <c r="CJ14" i="2"/>
  <c r="CI4" i="1"/>
  <c r="CI13" i="2"/>
  <c r="CA14" i="2"/>
  <c r="CY23" i="1"/>
  <c r="CY23" i="2" s="1"/>
  <c r="CY24" i="2"/>
  <c r="CN9" i="2"/>
  <c r="CN5" i="1"/>
  <c r="CN5" i="2" s="1"/>
  <c r="CM5" i="2"/>
  <c r="BR9" i="2"/>
  <c r="BS5" i="1"/>
  <c r="BR5" i="2" s="1"/>
  <c r="BT9" i="1"/>
  <c r="BS9" i="2" s="1"/>
  <c r="CG9" i="1"/>
  <c r="CE9" i="2"/>
  <c r="CO9" i="1"/>
  <c r="CF5" i="1"/>
  <c r="CE5" i="2" s="1"/>
  <c r="BP14" i="1"/>
  <c r="BO14" i="2" s="1"/>
  <c r="BN13" i="2"/>
  <c r="CK14" i="1"/>
  <c r="CC14" i="1"/>
  <c r="BM13" i="2" l="1"/>
  <c r="BT5" i="1"/>
  <c r="BS5" i="2" s="1"/>
  <c r="CJ4" i="1"/>
  <c r="CJ13" i="2"/>
  <c r="CB14" i="2"/>
  <c r="CB4" i="1"/>
  <c r="CA4" i="2" s="1"/>
  <c r="CA13" i="2"/>
  <c r="CK14" i="2"/>
  <c r="CO9" i="2"/>
  <c r="CO5" i="1"/>
  <c r="CO5" i="2" s="1"/>
  <c r="CG5" i="1"/>
  <c r="CF5" i="2" s="1"/>
  <c r="CG5" i="2" s="1"/>
  <c r="CF9" i="2"/>
  <c r="CG9" i="2" s="1"/>
  <c r="CP9" i="1"/>
  <c r="CQ9" i="1" s="1"/>
  <c r="BO4" i="1"/>
  <c r="BN4" i="2" s="1"/>
  <c r="BQ14" i="1"/>
  <c r="BP14" i="2" s="1"/>
  <c r="CL14" i="1"/>
  <c r="CD14" i="1"/>
  <c r="CC4" i="1" l="1"/>
  <c r="CB4" i="2" s="1"/>
  <c r="CB13" i="2"/>
  <c r="CC14" i="2"/>
  <c r="BP4" i="1"/>
  <c r="BO4" i="2" s="1"/>
  <c r="BO13" i="2"/>
  <c r="CK4" i="1"/>
  <c r="CK13" i="2"/>
  <c r="CL14" i="2"/>
  <c r="CY9" i="1"/>
  <c r="CQ9" i="2"/>
  <c r="CP9" i="2"/>
  <c r="CP5" i="1"/>
  <c r="BR14" i="1"/>
  <c r="BQ14" i="2" s="1"/>
  <c r="CM14" i="1"/>
  <c r="CE14" i="1"/>
  <c r="CD4" i="1" l="1"/>
  <c r="CC4" i="2" s="1"/>
  <c r="CC13" i="2"/>
  <c r="CM14" i="2"/>
  <c r="CL4" i="1"/>
  <c r="CL13" i="2"/>
  <c r="BQ4" i="1"/>
  <c r="BP4" i="2" s="1"/>
  <c r="BP13" i="2"/>
  <c r="CD14" i="2"/>
  <c r="CP5" i="2"/>
  <c r="CQ5" i="1"/>
  <c r="CQ5" i="2" s="1"/>
  <c r="CY9" i="2"/>
  <c r="CY5" i="1"/>
  <c r="CY5" i="2" s="1"/>
  <c r="BS14" i="1"/>
  <c r="BR14" i="2" s="1"/>
  <c r="CN14" i="1"/>
  <c r="CF14" i="1"/>
  <c r="CM4" i="1" l="1"/>
  <c r="CM13" i="2"/>
  <c r="CN14" i="2"/>
  <c r="BR4" i="1"/>
  <c r="BQ4" i="2" s="1"/>
  <c r="BQ13" i="2"/>
  <c r="CE14" i="2"/>
  <c r="CE4" i="1"/>
  <c r="CD4" i="2" s="1"/>
  <c r="CD13" i="2"/>
  <c r="BT14" i="1"/>
  <c r="BS14" i="2" s="1"/>
  <c r="CO14" i="1"/>
  <c r="CG14" i="1"/>
  <c r="CF14" i="2" s="1"/>
  <c r="CG14" i="2" l="1"/>
  <c r="CF4" i="1"/>
  <c r="CE4" i="2" s="1"/>
  <c r="CE13" i="2"/>
  <c r="BS4" i="1"/>
  <c r="BT4" i="1" s="1"/>
  <c r="BS4" i="2" s="1"/>
  <c r="BR13" i="2"/>
  <c r="CO14" i="2"/>
  <c r="CN4" i="1"/>
  <c r="CN13" i="2"/>
  <c r="BT13" i="1"/>
  <c r="BS13" i="2" s="1"/>
  <c r="CP14" i="1"/>
  <c r="CP14" i="2" s="1"/>
  <c r="CP33" i="1"/>
  <c r="CP33" i="2" s="1"/>
  <c r="CO33" i="1"/>
  <c r="CO33" i="2" s="1"/>
  <c r="CN33" i="1"/>
  <c r="CN33" i="2" s="1"/>
  <c r="CM33" i="1"/>
  <c r="CM33" i="2" s="1"/>
  <c r="CL33" i="1"/>
  <c r="CL33" i="2" s="1"/>
  <c r="CK33" i="1"/>
  <c r="CK33" i="2" s="1"/>
  <c r="CJ33" i="1"/>
  <c r="CJ33" i="2" s="1"/>
  <c r="CI33" i="1"/>
  <c r="CI33" i="2" s="1"/>
  <c r="CH33" i="1"/>
  <c r="CH33" i="2" s="1"/>
  <c r="BT33" i="1"/>
  <c r="BS33" i="2" s="1"/>
  <c r="BJ33" i="1"/>
  <c r="CP34" i="1"/>
  <c r="CP34" i="2" s="1"/>
  <c r="CO34" i="1"/>
  <c r="CO34" i="2" s="1"/>
  <c r="CN34" i="1"/>
  <c r="CN34" i="2" s="1"/>
  <c r="CM34" i="1"/>
  <c r="CM34" i="2" s="1"/>
  <c r="CL34" i="1"/>
  <c r="CL34" i="2" s="1"/>
  <c r="CK34" i="1"/>
  <c r="CK34" i="2" s="1"/>
  <c r="CJ34" i="1"/>
  <c r="CJ34" i="2" s="1"/>
  <c r="CI34" i="1"/>
  <c r="CI34" i="2" s="1"/>
  <c r="CH34" i="1"/>
  <c r="CH34" i="2" s="1"/>
  <c r="BT34" i="1"/>
  <c r="BS34" i="2" s="1"/>
  <c r="BR4" i="2" l="1"/>
  <c r="BJ32" i="1"/>
  <c r="BI32" i="2" s="1"/>
  <c r="BI33" i="2"/>
  <c r="CG4" i="1"/>
  <c r="CF4" i="2" s="1"/>
  <c r="CF13" i="2"/>
  <c r="CG13" i="2" s="1"/>
  <c r="CO4" i="1"/>
  <c r="CO13" i="2"/>
  <c r="CH32" i="1"/>
  <c r="CH32" i="2" s="1"/>
  <c r="CK32" i="1"/>
  <c r="CK32" i="2" s="1"/>
  <c r="CO32" i="1"/>
  <c r="CO32" i="2" s="1"/>
  <c r="CL32" i="1"/>
  <c r="CL32" i="2" s="1"/>
  <c r="CP32" i="1"/>
  <c r="CP32" i="2" s="1"/>
  <c r="CQ34" i="1"/>
  <c r="CI32" i="1"/>
  <c r="CI32" i="2" s="1"/>
  <c r="CM32" i="1"/>
  <c r="CM32" i="2" s="1"/>
  <c r="CJ32" i="1"/>
  <c r="CJ32" i="2" s="1"/>
  <c r="CN32" i="1"/>
  <c r="CN32" i="2" s="1"/>
  <c r="CQ14" i="1"/>
  <c r="CP13" i="2"/>
  <c r="CQ33" i="1"/>
  <c r="BN42" i="1"/>
  <c r="BJ42" i="1"/>
  <c r="CY33" i="1" l="1"/>
  <c r="CY33" i="2" s="1"/>
  <c r="CQ33" i="2"/>
  <c r="BN41" i="1"/>
  <c r="BM41" i="2" s="1"/>
  <c r="BM42" i="2"/>
  <c r="CY34" i="1"/>
  <c r="CY34" i="2" s="1"/>
  <c r="CQ34" i="2"/>
  <c r="BJ41" i="1"/>
  <c r="BI42" i="2"/>
  <c r="CY14" i="1"/>
  <c r="CQ14" i="2"/>
  <c r="CQ32" i="1"/>
  <c r="CQ32" i="2" s="1"/>
  <c r="CB42" i="1"/>
  <c r="CD42" i="1"/>
  <c r="BP42" i="1"/>
  <c r="CA42" i="1"/>
  <c r="BM42" i="1"/>
  <c r="CE42" i="1"/>
  <c r="BQ42" i="1"/>
  <c r="CY32" i="1"/>
  <c r="CY32" i="2" s="1"/>
  <c r="BZ42" i="1"/>
  <c r="BL42" i="1"/>
  <c r="CF42" i="1"/>
  <c r="BR42" i="1"/>
  <c r="CP4" i="1"/>
  <c r="CQ13" i="1"/>
  <c r="CQ13" i="2" s="1"/>
  <c r="BY42" i="1"/>
  <c r="BK42" i="1"/>
  <c r="BJ42" i="2" s="1"/>
  <c r="CC42" i="1"/>
  <c r="BO42" i="1"/>
  <c r="CG42" i="1"/>
  <c r="BS42" i="1"/>
  <c r="CA41" i="1" l="1"/>
  <c r="BZ41" i="2" s="1"/>
  <c r="BZ42" i="2"/>
  <c r="BJ36" i="1"/>
  <c r="BI36" i="2" s="1"/>
  <c r="BI41" i="2"/>
  <c r="BO41" i="1"/>
  <c r="BN41" i="2" s="1"/>
  <c r="BN42" i="2"/>
  <c r="CC41" i="1"/>
  <c r="CB41" i="2" s="1"/>
  <c r="CB42" i="2"/>
  <c r="BZ41" i="1"/>
  <c r="BY41" i="2" s="1"/>
  <c r="BY42" i="2"/>
  <c r="BM41" i="1"/>
  <c r="BL41" i="2" s="1"/>
  <c r="BL42" i="2"/>
  <c r="CB41" i="1"/>
  <c r="CA41" i="2" s="1"/>
  <c r="CA42" i="2"/>
  <c r="BS41" i="1"/>
  <c r="BR41" i="2" s="1"/>
  <c r="BR42" i="2"/>
  <c r="CG41" i="1"/>
  <c r="CF41" i="2" s="1"/>
  <c r="CF42" i="2"/>
  <c r="BY41" i="1"/>
  <c r="BX41" i="2" s="1"/>
  <c r="BX42" i="2"/>
  <c r="CF41" i="1"/>
  <c r="CE41" i="2" s="1"/>
  <c r="CE42" i="2"/>
  <c r="BQ41" i="1"/>
  <c r="BP41" i="2" s="1"/>
  <c r="BP42" i="2"/>
  <c r="BP41" i="1"/>
  <c r="BO41" i="2" s="1"/>
  <c r="BO42" i="2"/>
  <c r="BR41" i="1"/>
  <c r="BQ41" i="2" s="1"/>
  <c r="BQ42" i="2"/>
  <c r="BL41" i="1"/>
  <c r="BK41" i="2" s="1"/>
  <c r="BK42" i="2"/>
  <c r="CE41" i="1"/>
  <c r="CD41" i="2" s="1"/>
  <c r="CD42" i="2"/>
  <c r="CD41" i="1"/>
  <c r="CC41" i="2" s="1"/>
  <c r="CC42" i="2"/>
  <c r="CY13" i="2"/>
  <c r="CY14" i="2"/>
  <c r="BT42" i="1"/>
  <c r="BS42" i="2" s="1"/>
  <c r="BK41" i="1"/>
  <c r="BJ41" i="2" s="1"/>
  <c r="CP29" i="1"/>
  <c r="CP29" i="2" s="1"/>
  <c r="CO29" i="1"/>
  <c r="CO29" i="2" s="1"/>
  <c r="CN29" i="1"/>
  <c r="CN29" i="2" s="1"/>
  <c r="CM29" i="1"/>
  <c r="CM29" i="2" s="1"/>
  <c r="CL29" i="1"/>
  <c r="CL29" i="2" s="1"/>
  <c r="CK29" i="1"/>
  <c r="CK29" i="2" s="1"/>
  <c r="CJ29" i="1"/>
  <c r="CJ29" i="2" s="1"/>
  <c r="CI29" i="1"/>
  <c r="CI29" i="2" s="1"/>
  <c r="CH29" i="1"/>
  <c r="CH29" i="2" s="1"/>
  <c r="BT29" i="1"/>
  <c r="BS29" i="2" s="1"/>
  <c r="BJ29" i="1"/>
  <c r="CG42" i="2" l="1"/>
  <c r="CG41" i="2"/>
  <c r="BJ26" i="1"/>
  <c r="BI29" i="2"/>
  <c r="BT41" i="1"/>
  <c r="BS41" i="2" s="1"/>
  <c r="BK36" i="1"/>
  <c r="BJ36" i="2" s="1"/>
  <c r="CQ29" i="1"/>
  <c r="CY29" i="1" l="1"/>
  <c r="CY29" i="2" s="1"/>
  <c r="CQ29" i="2"/>
  <c r="BJ25" i="1"/>
  <c r="BI25" i="2" s="1"/>
  <c r="BI26" i="2"/>
  <c r="BY37" i="1"/>
  <c r="BL37" i="1"/>
  <c r="BK37" i="2" s="1"/>
  <c r="CH98" i="2"/>
  <c r="BY98" i="1"/>
  <c r="CC96" i="1"/>
  <c r="CA96" i="1"/>
  <c r="BY96" i="1"/>
  <c r="BJ96" i="1"/>
  <c r="CG94" i="1"/>
  <c r="CF94" i="1"/>
  <c r="CE94" i="1"/>
  <c r="CD94" i="1"/>
  <c r="CC94" i="1"/>
  <c r="CB94" i="1"/>
  <c r="CA94" i="1"/>
  <c r="BZ94" i="1"/>
  <c r="BY94" i="1"/>
  <c r="CG82" i="1"/>
  <c r="CF82" i="2" s="1"/>
  <c r="CF82" i="1"/>
  <c r="CE82" i="2" s="1"/>
  <c r="CE82" i="1"/>
  <c r="CD82" i="2" s="1"/>
  <c r="CD82" i="1"/>
  <c r="CC82" i="2" s="1"/>
  <c r="CC82" i="1"/>
  <c r="CB82" i="2" s="1"/>
  <c r="CB82" i="1"/>
  <c r="CA82" i="2" s="1"/>
  <c r="CA82" i="1"/>
  <c r="BZ82" i="2" s="1"/>
  <c r="BZ82" i="1"/>
  <c r="BY82" i="2" s="1"/>
  <c r="BY82" i="1"/>
  <c r="BX82" i="2" s="1"/>
  <c r="BY93" i="1"/>
  <c r="CG92" i="1"/>
  <c r="CF92" i="1"/>
  <c r="CE92" i="1"/>
  <c r="CD92" i="1"/>
  <c r="CC92" i="1"/>
  <c r="CB92" i="1"/>
  <c r="CA92" i="1"/>
  <c r="BZ92" i="1"/>
  <c r="BY92" i="1"/>
  <c r="CG90" i="1"/>
  <c r="CF90" i="1"/>
  <c r="CE90" i="1"/>
  <c r="CD90" i="1"/>
  <c r="CC90" i="1"/>
  <c r="CB90" i="1"/>
  <c r="CA90" i="1"/>
  <c r="BZ90" i="1"/>
  <c r="BY90" i="1"/>
  <c r="CS86" i="1"/>
  <c r="CS85" i="1" s="1"/>
  <c r="BY86" i="1"/>
  <c r="CG77" i="1"/>
  <c r="CF77" i="1"/>
  <c r="CE77" i="1"/>
  <c r="CD77" i="1"/>
  <c r="CC77" i="1"/>
  <c r="CB77" i="1"/>
  <c r="CA77" i="1"/>
  <c r="BZ77" i="1"/>
  <c r="BY77" i="1"/>
  <c r="BY22" i="1"/>
  <c r="CG82" i="2" l="1"/>
  <c r="BZ76" i="1"/>
  <c r="BY76" i="2" s="1"/>
  <c r="BY77" i="2"/>
  <c r="CI77" i="1"/>
  <c r="CC92" i="2"/>
  <c r="CM92" i="1"/>
  <c r="BY76" i="1"/>
  <c r="BX76" i="2" s="1"/>
  <c r="BX77" i="2"/>
  <c r="CH77" i="1"/>
  <c r="CC76" i="1"/>
  <c r="CB76" i="2" s="1"/>
  <c r="CB77" i="2"/>
  <c r="CL77" i="1"/>
  <c r="CG76" i="1"/>
  <c r="CF76" i="2" s="1"/>
  <c r="CF77" i="2"/>
  <c r="CP77" i="1"/>
  <c r="BZ87" i="1"/>
  <c r="BY87" i="2" s="1"/>
  <c r="BY90" i="2"/>
  <c r="CI90" i="1"/>
  <c r="CD87" i="1"/>
  <c r="CC87" i="2" s="1"/>
  <c r="CC90" i="2"/>
  <c r="CM90" i="1"/>
  <c r="BX92" i="2"/>
  <c r="CH92" i="1"/>
  <c r="CB92" i="2"/>
  <c r="CL92" i="1"/>
  <c r="CF92" i="2"/>
  <c r="CP92" i="1"/>
  <c r="BY94" i="2"/>
  <c r="CI94" i="1"/>
  <c r="CI94" i="2" s="1"/>
  <c r="CC94" i="2"/>
  <c r="CM94" i="1"/>
  <c r="CM94" i="2" s="1"/>
  <c r="BJ95" i="1"/>
  <c r="BI96" i="2"/>
  <c r="BY97" i="1"/>
  <c r="BX97" i="2" s="1"/>
  <c r="CG97" i="2" s="1"/>
  <c r="BX98" i="2"/>
  <c r="CG98" i="2" s="1"/>
  <c r="BZ93" i="1"/>
  <c r="BZ91" i="1" s="1"/>
  <c r="BY91" i="2" s="1"/>
  <c r="BX93" i="2"/>
  <c r="CH93" i="1"/>
  <c r="CD76" i="1"/>
  <c r="CC76" i="2" s="1"/>
  <c r="CC77" i="2"/>
  <c r="CM77" i="1"/>
  <c r="CA87" i="1"/>
  <c r="BZ87" i="2" s="1"/>
  <c r="BZ90" i="2"/>
  <c r="CJ90" i="1"/>
  <c r="CE87" i="1"/>
  <c r="CD87" i="2" s="1"/>
  <c r="CD90" i="2"/>
  <c r="CN90" i="1"/>
  <c r="BZ94" i="2"/>
  <c r="CJ94" i="1"/>
  <c r="CJ94" i="2" s="1"/>
  <c r="CD94" i="2"/>
  <c r="CN94" i="1"/>
  <c r="CN94" i="2" s="1"/>
  <c r="BY95" i="1"/>
  <c r="BX95" i="2" s="1"/>
  <c r="BX96" i="2"/>
  <c r="CH96" i="1"/>
  <c r="CB87" i="1"/>
  <c r="CA87" i="2" s="1"/>
  <c r="CA90" i="2"/>
  <c r="CK90" i="1"/>
  <c r="CF87" i="1"/>
  <c r="CE87" i="2" s="1"/>
  <c r="CE90" i="2"/>
  <c r="CO90" i="1"/>
  <c r="BZ92" i="2"/>
  <c r="CJ92" i="1"/>
  <c r="CD92" i="2"/>
  <c r="CN92" i="1"/>
  <c r="CA94" i="2"/>
  <c r="CK94" i="1"/>
  <c r="CK94" i="2" s="1"/>
  <c r="CE94" i="2"/>
  <c r="CO94" i="1"/>
  <c r="CO94" i="2" s="1"/>
  <c r="CA95" i="1"/>
  <c r="BZ95" i="2" s="1"/>
  <c r="BZ96" i="2"/>
  <c r="CJ96" i="1"/>
  <c r="BY85" i="1"/>
  <c r="BX85" i="2" s="1"/>
  <c r="CG85" i="2" s="1"/>
  <c r="BX86" i="2"/>
  <c r="CG86" i="2" s="1"/>
  <c r="CH86" i="1"/>
  <c r="BY92" i="2"/>
  <c r="CI92" i="1"/>
  <c r="CA76" i="1"/>
  <c r="BZ76" i="2" s="1"/>
  <c r="BZ77" i="2"/>
  <c r="CJ77" i="1"/>
  <c r="CE76" i="1"/>
  <c r="CD76" i="2" s="1"/>
  <c r="CD77" i="2"/>
  <c r="CN77" i="1"/>
  <c r="BX22" i="2"/>
  <c r="CG22" i="2" s="1"/>
  <c r="CH22" i="1"/>
  <c r="CB76" i="1"/>
  <c r="CA76" i="2" s="1"/>
  <c r="CA77" i="2"/>
  <c r="CK77" i="1"/>
  <c r="CF76" i="1"/>
  <c r="CE76" i="2" s="1"/>
  <c r="CE77" i="2"/>
  <c r="CO77" i="1"/>
  <c r="BY87" i="1"/>
  <c r="BX87" i="2" s="1"/>
  <c r="BX90" i="2"/>
  <c r="CH90" i="1"/>
  <c r="CC87" i="1"/>
  <c r="CB87" i="2" s="1"/>
  <c r="CB90" i="2"/>
  <c r="CL90" i="1"/>
  <c r="CG87" i="1"/>
  <c r="CF87" i="2" s="1"/>
  <c r="CF90" i="2"/>
  <c r="CP90" i="1"/>
  <c r="CA92" i="2"/>
  <c r="CK92" i="1"/>
  <c r="CE92" i="2"/>
  <c r="CO92" i="1"/>
  <c r="BX94" i="2"/>
  <c r="CH94" i="1"/>
  <c r="CB94" i="2"/>
  <c r="CL94" i="1"/>
  <c r="CL94" i="2" s="1"/>
  <c r="CF94" i="2"/>
  <c r="CP94" i="1"/>
  <c r="CP94" i="2" s="1"/>
  <c r="CC95" i="1"/>
  <c r="CB95" i="2" s="1"/>
  <c r="CB96" i="2"/>
  <c r="CL96" i="1"/>
  <c r="BY36" i="1"/>
  <c r="BX36" i="2" s="1"/>
  <c r="BX37" i="2"/>
  <c r="BY91" i="1"/>
  <c r="BX91" i="2" s="1"/>
  <c r="CS82" i="1"/>
  <c r="CY84" i="1"/>
  <c r="CQ98" i="1"/>
  <c r="CH97" i="1"/>
  <c r="CS91" i="1"/>
  <c r="BY21" i="1"/>
  <c r="CH85" i="1"/>
  <c r="BL36" i="1"/>
  <c r="BK36" i="2" s="1"/>
  <c r="BZ37" i="1"/>
  <c r="CG87" i="2" l="1"/>
  <c r="CG96" i="2"/>
  <c r="CG94" i="2"/>
  <c r="CG90" i="2"/>
  <c r="CG95" i="2"/>
  <c r="CG77" i="2"/>
  <c r="CG76" i="2"/>
  <c r="CG92" i="2"/>
  <c r="CY98" i="1"/>
  <c r="CQ98" i="2"/>
  <c r="CN90" i="2"/>
  <c r="CN87" i="1"/>
  <c r="CN87" i="2" s="1"/>
  <c r="CQ92" i="1"/>
  <c r="CH92" i="2"/>
  <c r="CH91" i="1"/>
  <c r="CQ77" i="1"/>
  <c r="CI77" i="2"/>
  <c r="CI76" i="1"/>
  <c r="CI76" i="2" s="1"/>
  <c r="BY4" i="1"/>
  <c r="BX4" i="2" s="1"/>
  <c r="CG4" i="2" s="1"/>
  <c r="BX21" i="2"/>
  <c r="CG21" i="2" s="1"/>
  <c r="CO92" i="2"/>
  <c r="CQ97" i="1"/>
  <c r="CQ97" i="2" s="1"/>
  <c r="CH97" i="2"/>
  <c r="CY82" i="1"/>
  <c r="CY82" i="2" s="1"/>
  <c r="CY84" i="2"/>
  <c r="CO77" i="2"/>
  <c r="CO76" i="1"/>
  <c r="CO76" i="2" s="1"/>
  <c r="CN77" i="2"/>
  <c r="CN76" i="1"/>
  <c r="CN76" i="2" s="1"/>
  <c r="CJ96" i="2"/>
  <c r="CJ95" i="1"/>
  <c r="CJ95" i="2" s="1"/>
  <c r="CO90" i="2"/>
  <c r="CO87" i="1"/>
  <c r="CO87" i="2" s="1"/>
  <c r="CJ90" i="2"/>
  <c r="CJ87" i="1"/>
  <c r="CJ87" i="2" s="1"/>
  <c r="CA93" i="1"/>
  <c r="BY93" i="2"/>
  <c r="CI93" i="1"/>
  <c r="CI93" i="2" s="1"/>
  <c r="BJ65" i="1"/>
  <c r="BI65" i="2" s="1"/>
  <c r="BI95" i="2"/>
  <c r="CL77" i="2"/>
  <c r="CL76" i="1"/>
  <c r="CL76" i="2" s="1"/>
  <c r="CQ85" i="1"/>
  <c r="CQ85" i="2" s="1"/>
  <c r="CH85" i="2"/>
  <c r="CK92" i="2"/>
  <c r="CH86" i="2"/>
  <c r="CQ86" i="1"/>
  <c r="CJ92" i="2"/>
  <c r="CP77" i="2"/>
  <c r="CP76" i="1"/>
  <c r="CP76" i="2" s="1"/>
  <c r="CL96" i="2"/>
  <c r="CL95" i="1"/>
  <c r="CL95" i="2" s="1"/>
  <c r="CL90" i="2"/>
  <c r="CL87" i="1"/>
  <c r="CL87" i="2" s="1"/>
  <c r="CQ22" i="1"/>
  <c r="CQ22" i="2" s="1"/>
  <c r="CH22" i="2"/>
  <c r="CI92" i="2"/>
  <c r="CH96" i="2"/>
  <c r="CQ96" i="1"/>
  <c r="CH95" i="1"/>
  <c r="CH93" i="2"/>
  <c r="CI90" i="2"/>
  <c r="CI87" i="1"/>
  <c r="CI87" i="2" s="1"/>
  <c r="CM92" i="2"/>
  <c r="CQ94" i="1"/>
  <c r="CH94" i="2"/>
  <c r="CQ90" i="1"/>
  <c r="CH90" i="2"/>
  <c r="CH87" i="1"/>
  <c r="CP92" i="2"/>
  <c r="BZ36" i="1"/>
  <c r="BY36" i="2" s="1"/>
  <c r="BY37" i="2"/>
  <c r="CP90" i="2"/>
  <c r="CP87" i="1"/>
  <c r="CP87" i="2" s="1"/>
  <c r="CK77" i="2"/>
  <c r="CK76" i="1"/>
  <c r="CK76" i="2" s="1"/>
  <c r="CJ77" i="2"/>
  <c r="CJ76" i="1"/>
  <c r="CJ76" i="2" s="1"/>
  <c r="CN92" i="2"/>
  <c r="CK90" i="2"/>
  <c r="CK87" i="1"/>
  <c r="CK87" i="2" s="1"/>
  <c r="CM77" i="2"/>
  <c r="CM76" i="1"/>
  <c r="CM76" i="2" s="1"/>
  <c r="CL92" i="2"/>
  <c r="CM90" i="2"/>
  <c r="CM87" i="1"/>
  <c r="CM87" i="2" s="1"/>
  <c r="CH77" i="2"/>
  <c r="CH76" i="1"/>
  <c r="BM37" i="1"/>
  <c r="BL37" i="2" s="1"/>
  <c r="CA37" i="1"/>
  <c r="CY22" i="1"/>
  <c r="CH21" i="1"/>
  <c r="CH21" i="2" s="1"/>
  <c r="BN37" i="1"/>
  <c r="CS65" i="1"/>
  <c r="CS40" i="1"/>
  <c r="CS39" i="1" s="1"/>
  <c r="CS37" i="1" s="1"/>
  <c r="CS36" i="1" s="1"/>
  <c r="CP40" i="1"/>
  <c r="CO40" i="1"/>
  <c r="CN40" i="1"/>
  <c r="CM40" i="1"/>
  <c r="CL40" i="1"/>
  <c r="CK40" i="1"/>
  <c r="CJ40" i="1"/>
  <c r="CI40" i="1"/>
  <c r="CH40" i="1"/>
  <c r="BT40" i="1"/>
  <c r="BS40" i="2" s="1"/>
  <c r="BD40" i="1"/>
  <c r="BC40" i="1"/>
  <c r="BB40" i="1"/>
  <c r="BA40" i="1"/>
  <c r="AZ40" i="1"/>
  <c r="AY40" i="1"/>
  <c r="AX40" i="1"/>
  <c r="AW40" i="1"/>
  <c r="AV40" i="1"/>
  <c r="CI39" i="1" l="1"/>
  <c r="CI40" i="2"/>
  <c r="CM39" i="1"/>
  <c r="CM40" i="2"/>
  <c r="CY21" i="1"/>
  <c r="CY22" i="2"/>
  <c r="CH95" i="2"/>
  <c r="CQ95" i="1"/>
  <c r="CQ95" i="2" s="1"/>
  <c r="CQ77" i="2"/>
  <c r="CY77" i="1"/>
  <c r="CJ39" i="1"/>
  <c r="CJ40" i="2"/>
  <c r="CA36" i="1"/>
  <c r="BZ36" i="2" s="1"/>
  <c r="BZ37" i="2"/>
  <c r="CQ87" i="1"/>
  <c r="CQ87" i="2" s="1"/>
  <c r="CH87" i="2"/>
  <c r="CQ94" i="2"/>
  <c r="CY94" i="1"/>
  <c r="CQ96" i="2"/>
  <c r="CY96" i="1"/>
  <c r="CH91" i="2"/>
  <c r="CN39" i="1"/>
  <c r="CN40" i="2"/>
  <c r="CK39" i="1"/>
  <c r="CK40" i="2"/>
  <c r="CO39" i="1"/>
  <c r="CO40" i="2"/>
  <c r="BN36" i="1"/>
  <c r="BM36" i="2" s="1"/>
  <c r="BM37" i="2"/>
  <c r="CH39" i="1"/>
  <c r="CH39" i="2" s="1"/>
  <c r="CH40" i="2"/>
  <c r="CL39" i="1"/>
  <c r="CL40" i="2"/>
  <c r="CP39" i="1"/>
  <c r="CP40" i="2"/>
  <c r="CH76" i="2"/>
  <c r="CQ76" i="1"/>
  <c r="CQ76" i="2" s="1"/>
  <c r="CQ90" i="2"/>
  <c r="CY90" i="1"/>
  <c r="CI91" i="1"/>
  <c r="CI91" i="2" s="1"/>
  <c r="CQ86" i="2"/>
  <c r="CY86" i="1"/>
  <c r="CB93" i="1"/>
  <c r="BZ93" i="2"/>
  <c r="CJ93" i="1"/>
  <c r="CA91" i="1"/>
  <c r="BZ91" i="2" s="1"/>
  <c r="CQ92" i="2"/>
  <c r="CY92" i="1"/>
  <c r="CY92" i="2" s="1"/>
  <c r="CY97" i="1"/>
  <c r="CY97" i="2" s="1"/>
  <c r="CY98" i="2"/>
  <c r="CQ21" i="1"/>
  <c r="CQ21" i="2" s="1"/>
  <c r="CH4" i="1"/>
  <c r="CB37" i="1"/>
  <c r="CH37" i="1"/>
  <c r="CH37" i="2" s="1"/>
  <c r="BO37" i="1"/>
  <c r="BM36" i="1"/>
  <c r="BL36" i="2" s="1"/>
  <c r="CQ40" i="1"/>
  <c r="BS73" i="1"/>
  <c r="BR73" i="2" s="1"/>
  <c r="BR73" i="1"/>
  <c r="BQ73" i="2" s="1"/>
  <c r="BQ73" i="1"/>
  <c r="BP73" i="2" s="1"/>
  <c r="BP73" i="1"/>
  <c r="BO73" i="2" s="1"/>
  <c r="BO73" i="1"/>
  <c r="BN73" i="2" s="1"/>
  <c r="BN73" i="1"/>
  <c r="BM73" i="2" s="1"/>
  <c r="BM73" i="1"/>
  <c r="BL73" i="2" s="1"/>
  <c r="BL73" i="1"/>
  <c r="BK73" i="2" s="1"/>
  <c r="BK73" i="1"/>
  <c r="BJ73" i="2" s="1"/>
  <c r="BD73" i="1"/>
  <c r="CG73" i="1" s="1"/>
  <c r="BC73" i="1"/>
  <c r="CF73" i="1" s="1"/>
  <c r="BB73" i="1"/>
  <c r="CE73" i="1" s="1"/>
  <c r="CD73" i="2" s="1"/>
  <c r="BA73" i="1"/>
  <c r="CD73" i="1" s="1"/>
  <c r="CC73" i="2" s="1"/>
  <c r="AZ73" i="1"/>
  <c r="CC73" i="1" s="1"/>
  <c r="AY73" i="1"/>
  <c r="CB73" i="1" s="1"/>
  <c r="AX73" i="1"/>
  <c r="CA73" i="1" s="1"/>
  <c r="BZ73" i="2" s="1"/>
  <c r="AW73" i="1"/>
  <c r="BZ73" i="1" s="1"/>
  <c r="BY73" i="2" s="1"/>
  <c r="AV73" i="1"/>
  <c r="BY73" i="1" s="1"/>
  <c r="BS71" i="1"/>
  <c r="BR71" i="1"/>
  <c r="BQ71" i="1"/>
  <c r="BP71" i="2" s="1"/>
  <c r="BP71" i="1"/>
  <c r="BO71" i="2" s="1"/>
  <c r="BO71" i="1"/>
  <c r="BN71" i="1"/>
  <c r="BM71" i="1"/>
  <c r="BL71" i="2" s="1"/>
  <c r="BL71" i="1"/>
  <c r="BK71" i="2" s="1"/>
  <c r="BK71" i="1"/>
  <c r="BD71" i="1"/>
  <c r="CG71" i="1" s="1"/>
  <c r="CF71" i="2" s="1"/>
  <c r="BC71" i="1"/>
  <c r="CF71" i="1" s="1"/>
  <c r="CE71" i="2" s="1"/>
  <c r="BB71" i="1"/>
  <c r="CE71" i="1" s="1"/>
  <c r="CD71" i="2" s="1"/>
  <c r="BA71" i="1"/>
  <c r="CD71" i="1" s="1"/>
  <c r="CC71" i="2" s="1"/>
  <c r="AZ71" i="1"/>
  <c r="CC71" i="1" s="1"/>
  <c r="AY71" i="1"/>
  <c r="CB71" i="1" s="1"/>
  <c r="CA71" i="2" s="1"/>
  <c r="AX71" i="1"/>
  <c r="CA71" i="1" s="1"/>
  <c r="BZ71" i="2" s="1"/>
  <c r="AW71" i="1"/>
  <c r="BZ71" i="1" s="1"/>
  <c r="BY71" i="2" s="1"/>
  <c r="AV71" i="1"/>
  <c r="BY71" i="1" s="1"/>
  <c r="BX71" i="2" s="1"/>
  <c r="BY68" i="1"/>
  <c r="BX68" i="2" s="1"/>
  <c r="BK68" i="1"/>
  <c r="BJ68" i="2" s="1"/>
  <c r="BK67" i="1"/>
  <c r="BJ67" i="2" s="1"/>
  <c r="CQ39" i="1" l="1"/>
  <c r="CQ39" i="2" s="1"/>
  <c r="CC70" i="1"/>
  <c r="CB70" i="2" s="1"/>
  <c r="CB71" i="2"/>
  <c r="CG71" i="2" s="1"/>
  <c r="BN70" i="1"/>
  <c r="BM70" i="2" s="1"/>
  <c r="BM71" i="2"/>
  <c r="BR70" i="1"/>
  <c r="BQ70" i="2" s="1"/>
  <c r="BQ71" i="2"/>
  <c r="CY40" i="1"/>
  <c r="CQ40" i="2"/>
  <c r="CY85" i="1"/>
  <c r="CY85" i="2" s="1"/>
  <c r="CY86" i="2"/>
  <c r="CY90" i="2"/>
  <c r="CY87" i="1"/>
  <c r="CY87" i="2" s="1"/>
  <c r="CY95" i="1"/>
  <c r="CY95" i="2" s="1"/>
  <c r="CY96" i="2"/>
  <c r="BK70" i="1"/>
  <c r="BJ70" i="2" s="1"/>
  <c r="BJ71" i="2"/>
  <c r="BO70" i="1"/>
  <c r="BN70" i="2" s="1"/>
  <c r="BN71" i="2"/>
  <c r="BS70" i="1"/>
  <c r="BR70" i="2" s="1"/>
  <c r="BR71" i="2"/>
  <c r="CK73" i="1"/>
  <c r="CK73" i="2" s="1"/>
  <c r="CA73" i="2"/>
  <c r="CO73" i="1"/>
  <c r="CO73" i="2" s="1"/>
  <c r="CE73" i="2"/>
  <c r="CB36" i="1"/>
  <c r="CA36" i="2" s="1"/>
  <c r="CA37" i="2"/>
  <c r="CJ93" i="2"/>
  <c r="CJ91" i="1"/>
  <c r="CJ91" i="2" s="1"/>
  <c r="CP37" i="1"/>
  <c r="CP39" i="2"/>
  <c r="CO37" i="1"/>
  <c r="CO39" i="2"/>
  <c r="CN37" i="1"/>
  <c r="CN39" i="2"/>
  <c r="CJ37" i="1"/>
  <c r="CJ39" i="2"/>
  <c r="CM37" i="1"/>
  <c r="CM39" i="2"/>
  <c r="CH73" i="1"/>
  <c r="CH73" i="2" s="1"/>
  <c r="BX73" i="2"/>
  <c r="CL73" i="1"/>
  <c r="CL73" i="2" s="1"/>
  <c r="CB73" i="2"/>
  <c r="CP73" i="1"/>
  <c r="CP73" i="2" s="1"/>
  <c r="CF73" i="2"/>
  <c r="BO36" i="1"/>
  <c r="BN36" i="2" s="1"/>
  <c r="BN37" i="2"/>
  <c r="CY94" i="2"/>
  <c r="CY76" i="1"/>
  <c r="CY76" i="2" s="1"/>
  <c r="CY77" i="2"/>
  <c r="CC93" i="1"/>
  <c r="CA93" i="2"/>
  <c r="CK93" i="1"/>
  <c r="CB91" i="1"/>
  <c r="CA91" i="2" s="1"/>
  <c r="CL37" i="1"/>
  <c r="CL39" i="2"/>
  <c r="CK37" i="1"/>
  <c r="CK39" i="2"/>
  <c r="CY4" i="1"/>
  <c r="CY4" i="2" s="1"/>
  <c r="CY21" i="2"/>
  <c r="CI37" i="1"/>
  <c r="CI39" i="2"/>
  <c r="CQ4" i="1"/>
  <c r="CQ4" i="2" s="1"/>
  <c r="CH4" i="2"/>
  <c r="BM70" i="1"/>
  <c r="BL70" i="2" s="1"/>
  <c r="BQ70" i="1"/>
  <c r="BP70" i="2" s="1"/>
  <c r="BP37" i="1"/>
  <c r="BO37" i="2" s="1"/>
  <c r="CA70" i="1"/>
  <c r="BZ70" i="2" s="1"/>
  <c r="CE70" i="1"/>
  <c r="CD70" i="2" s="1"/>
  <c r="BL70" i="1"/>
  <c r="BK70" i="2" s="1"/>
  <c r="BP70" i="1"/>
  <c r="BO70" i="2" s="1"/>
  <c r="CH36" i="1"/>
  <c r="CC37" i="1"/>
  <c r="CI71" i="1"/>
  <c r="CI71" i="2" s="1"/>
  <c r="BZ70" i="1"/>
  <c r="BY70" i="2" s="1"/>
  <c r="CK71" i="1"/>
  <c r="CB70" i="1"/>
  <c r="CA70" i="2" s="1"/>
  <c r="BY67" i="1"/>
  <c r="BX67" i="2" s="1"/>
  <c r="BK66" i="1"/>
  <c r="CM71" i="1"/>
  <c r="CM71" i="2" s="1"/>
  <c r="CD70" i="1"/>
  <c r="CC70" i="2" s="1"/>
  <c r="CH68" i="1"/>
  <c r="CH68" i="2" s="1"/>
  <c r="CO71" i="1"/>
  <c r="CF70" i="1"/>
  <c r="CE70" i="2" s="1"/>
  <c r="CH71" i="1"/>
  <c r="CH71" i="2" s="1"/>
  <c r="BY70" i="1"/>
  <c r="BX70" i="2" s="1"/>
  <c r="CP71" i="1"/>
  <c r="CG70" i="1"/>
  <c r="CF70" i="2" s="1"/>
  <c r="CN71" i="1"/>
  <c r="CN71" i="2" s="1"/>
  <c r="CJ73" i="1"/>
  <c r="CJ73" i="2" s="1"/>
  <c r="CN73" i="1"/>
  <c r="CN73" i="2" s="1"/>
  <c r="CJ71" i="1"/>
  <c r="CJ71" i="2" s="1"/>
  <c r="BT71" i="1"/>
  <c r="BS71" i="2" s="1"/>
  <c r="CL71" i="1"/>
  <c r="CI73" i="1"/>
  <c r="CI73" i="2" s="1"/>
  <c r="CM73" i="1"/>
  <c r="CM73" i="2" s="1"/>
  <c r="BT73" i="1"/>
  <c r="BS73" i="2" s="1"/>
  <c r="BZ67" i="1"/>
  <c r="BL68" i="1"/>
  <c r="BL67" i="1"/>
  <c r="BK67" i="2" s="1"/>
  <c r="BZ68" i="1"/>
  <c r="BY68" i="2" s="1"/>
  <c r="DA8" i="2" l="1"/>
  <c r="DA14" i="2"/>
  <c r="DA20" i="2"/>
  <c r="DA22" i="2"/>
  <c r="DA10" i="2"/>
  <c r="DA17" i="2"/>
  <c r="DA24" i="2"/>
  <c r="DA7" i="2"/>
  <c r="DA12" i="2"/>
  <c r="DA18" i="2"/>
  <c r="DA6" i="2"/>
  <c r="DA9" i="2"/>
  <c r="DA15" i="2"/>
  <c r="CG73" i="2"/>
  <c r="CG70" i="2"/>
  <c r="BZ66" i="1"/>
  <c r="BY66" i="2" s="1"/>
  <c r="BY67" i="2"/>
  <c r="CC36" i="1"/>
  <c r="CB36" i="2" s="1"/>
  <c r="CB37" i="2"/>
  <c r="CD93" i="1"/>
  <c r="CB93" i="2"/>
  <c r="CL93" i="1"/>
  <c r="CC91" i="1"/>
  <c r="CB91" i="2" s="1"/>
  <c r="CK70" i="1"/>
  <c r="CK70" i="2" s="1"/>
  <c r="CK71" i="2"/>
  <c r="CH36" i="2"/>
  <c r="CI36" i="1"/>
  <c r="CI36" i="2" s="1"/>
  <c r="CI37" i="2"/>
  <c r="CK36" i="1"/>
  <c r="CK36" i="2" s="1"/>
  <c r="CK37" i="2"/>
  <c r="CJ36" i="1"/>
  <c r="CJ36" i="2" s="1"/>
  <c r="CJ37" i="2"/>
  <c r="CO36" i="1"/>
  <c r="CO36" i="2" s="1"/>
  <c r="CO37" i="2"/>
  <c r="CY39" i="1"/>
  <c r="CY40" i="2"/>
  <c r="BM68" i="1"/>
  <c r="BK68" i="2"/>
  <c r="CP70" i="1"/>
  <c r="CP70" i="2" s="1"/>
  <c r="CP71" i="2"/>
  <c r="CO70" i="1"/>
  <c r="CO70" i="2" s="1"/>
  <c r="CO71" i="2"/>
  <c r="BK65" i="1"/>
  <c r="BJ65" i="2" s="1"/>
  <c r="BJ66" i="2"/>
  <c r="CQ37" i="1"/>
  <c r="CQ37" i="2" s="1"/>
  <c r="CK93" i="2"/>
  <c r="CK91" i="1"/>
  <c r="CL70" i="1"/>
  <c r="CL70" i="2" s="1"/>
  <c r="CL71" i="2"/>
  <c r="CL36" i="1"/>
  <c r="CL36" i="2" s="1"/>
  <c r="CL37" i="2"/>
  <c r="CM36" i="1"/>
  <c r="CM36" i="2" s="1"/>
  <c r="CM37" i="2"/>
  <c r="CN36" i="1"/>
  <c r="CN36" i="2" s="1"/>
  <c r="CN37" i="2"/>
  <c r="CP36" i="1"/>
  <c r="CP36" i="2" s="1"/>
  <c r="CP37" i="2"/>
  <c r="BZ65" i="1"/>
  <c r="BY65" i="2" s="1"/>
  <c r="CQ73" i="1"/>
  <c r="BT70" i="1"/>
  <c r="BS70" i="2" s="1"/>
  <c r="CH67" i="1"/>
  <c r="CH67" i="2" s="1"/>
  <c r="BY66" i="1"/>
  <c r="CD37" i="1"/>
  <c r="BP36" i="1"/>
  <c r="BO36" i="2" s="1"/>
  <c r="BQ37" i="1"/>
  <c r="CN70" i="1"/>
  <c r="CN70" i="2" s="1"/>
  <c r="CQ71" i="1"/>
  <c r="CH70" i="1"/>
  <c r="CH70" i="2" s="1"/>
  <c r="BM67" i="1"/>
  <c r="BL67" i="2" s="1"/>
  <c r="BL66" i="1"/>
  <c r="BK66" i="2" s="1"/>
  <c r="CJ70" i="1"/>
  <c r="CJ70" i="2" s="1"/>
  <c r="CM70" i="1"/>
  <c r="CM70" i="2" s="1"/>
  <c r="CI70" i="1"/>
  <c r="CI70" i="2" s="1"/>
  <c r="CI68" i="1"/>
  <c r="CI68" i="2" s="1"/>
  <c r="CA68" i="1"/>
  <c r="BZ68" i="2" s="1"/>
  <c r="CI67" i="1"/>
  <c r="CI67" i="2" s="1"/>
  <c r="CA67" i="1"/>
  <c r="BZ67" i="2" s="1"/>
  <c r="DA4" i="2" l="1"/>
  <c r="BY65" i="1"/>
  <c r="BX65" i="2" s="1"/>
  <c r="BX66" i="2"/>
  <c r="BQ36" i="1"/>
  <c r="BP36" i="2" s="1"/>
  <c r="BP37" i="2"/>
  <c r="BN68" i="1"/>
  <c r="BL68" i="2"/>
  <c r="CQ36" i="1"/>
  <c r="CQ36" i="2" s="1"/>
  <c r="CL93" i="2"/>
  <c r="CL91" i="1"/>
  <c r="CL91" i="2" s="1"/>
  <c r="CY71" i="1"/>
  <c r="CQ71" i="2"/>
  <c r="CD36" i="1"/>
  <c r="CC36" i="2" s="1"/>
  <c r="CC37" i="2"/>
  <c r="CY73" i="1"/>
  <c r="CY73" i="2" s="1"/>
  <c r="CQ73" i="2"/>
  <c r="CK91" i="2"/>
  <c r="CY37" i="1"/>
  <c r="CY39" i="2"/>
  <c r="CE93" i="1"/>
  <c r="CC93" i="2"/>
  <c r="CM93" i="1"/>
  <c r="CD91" i="1"/>
  <c r="CC91" i="2" s="1"/>
  <c r="CA66" i="1"/>
  <c r="BL65" i="1"/>
  <c r="BK65" i="2" s="1"/>
  <c r="CH66" i="1"/>
  <c r="CH66" i="2" s="1"/>
  <c r="BN67" i="1"/>
  <c r="BM67" i="2" s="1"/>
  <c r="BM66" i="1"/>
  <c r="CI66" i="1"/>
  <c r="CQ70" i="1"/>
  <c r="CQ70" i="2" s="1"/>
  <c r="BR37" i="1"/>
  <c r="BQ37" i="2" s="1"/>
  <c r="CE37" i="1"/>
  <c r="CB68" i="1"/>
  <c r="CA68" i="2" s="1"/>
  <c r="CJ68" i="1"/>
  <c r="CJ68" i="2" s="1"/>
  <c r="CJ67" i="1"/>
  <c r="CJ67" i="2" s="1"/>
  <c r="CB67" i="1"/>
  <c r="CA67" i="2" s="1"/>
  <c r="CG28" i="1"/>
  <c r="CF28" i="2" s="1"/>
  <c r="CF28" i="1"/>
  <c r="CE28" i="2" s="1"/>
  <c r="CE28" i="1"/>
  <c r="CD28" i="2" s="1"/>
  <c r="CD28" i="1"/>
  <c r="CC28" i="2" s="1"/>
  <c r="CC28" i="1"/>
  <c r="CB28" i="2" s="1"/>
  <c r="CB28" i="1"/>
  <c r="CA28" i="2" s="1"/>
  <c r="CA28" i="1"/>
  <c r="BZ28" i="2" s="1"/>
  <c r="BZ28" i="1"/>
  <c r="BY28" i="2" s="1"/>
  <c r="BY28" i="1"/>
  <c r="BX28" i="2" s="1"/>
  <c r="CG28" i="2" s="1"/>
  <c r="BS28" i="1"/>
  <c r="BR28" i="1"/>
  <c r="BQ28" i="1"/>
  <c r="BP28" i="1"/>
  <c r="BO28" i="1"/>
  <c r="BN28" i="1"/>
  <c r="BM28" i="1"/>
  <c r="BL28" i="1"/>
  <c r="BK28" i="1"/>
  <c r="BJ28" i="2" s="1"/>
  <c r="CG27" i="1"/>
  <c r="CF27" i="2" s="1"/>
  <c r="CF27" i="1"/>
  <c r="CE27" i="2" s="1"/>
  <c r="CE27" i="1"/>
  <c r="CD27" i="2" s="1"/>
  <c r="CD27" i="1"/>
  <c r="CC27" i="2" s="1"/>
  <c r="CC27" i="1"/>
  <c r="CB27" i="2" s="1"/>
  <c r="CB27" i="1"/>
  <c r="CA27" i="2" s="1"/>
  <c r="CA27" i="1"/>
  <c r="BZ27" i="2" s="1"/>
  <c r="BZ27" i="1"/>
  <c r="BY27" i="2" s="1"/>
  <c r="BY27" i="1"/>
  <c r="BX27" i="2" s="1"/>
  <c r="CG27" i="2" l="1"/>
  <c r="BN26" i="1"/>
  <c r="BM28" i="2"/>
  <c r="BR26" i="1"/>
  <c r="BQ28" i="2"/>
  <c r="BO26" i="1"/>
  <c r="BN28" i="2"/>
  <c r="BS26" i="1"/>
  <c r="BR28" i="2"/>
  <c r="CM93" i="2"/>
  <c r="CM91" i="1"/>
  <c r="CY36" i="1"/>
  <c r="CY36" i="2" s="1"/>
  <c r="CY37" i="2"/>
  <c r="CY70" i="1"/>
  <c r="CY70" i="2" s="1"/>
  <c r="CY71" i="2"/>
  <c r="BL26" i="1"/>
  <c r="BK28" i="2"/>
  <c r="CI65" i="1"/>
  <c r="CI65" i="2" s="1"/>
  <c r="CI66" i="2"/>
  <c r="BP26" i="1"/>
  <c r="BO28" i="2"/>
  <c r="BM26" i="1"/>
  <c r="BL28" i="2"/>
  <c r="BQ26" i="1"/>
  <c r="BP28" i="2"/>
  <c r="CE36" i="1"/>
  <c r="CD36" i="2" s="1"/>
  <c r="CD37" i="2"/>
  <c r="BM65" i="1"/>
  <c r="BL65" i="2" s="1"/>
  <c r="BL66" i="2"/>
  <c r="CA65" i="1"/>
  <c r="BZ65" i="2" s="1"/>
  <c r="BZ66" i="2"/>
  <c r="CF93" i="1"/>
  <c r="CD93" i="2"/>
  <c r="CN93" i="1"/>
  <c r="CE91" i="1"/>
  <c r="CD91" i="2" s="1"/>
  <c r="BO68" i="1"/>
  <c r="BM68" i="2"/>
  <c r="CJ66" i="1"/>
  <c r="BK26" i="1"/>
  <c r="BJ26" i="2" s="1"/>
  <c r="BT28" i="1"/>
  <c r="BS28" i="2" s="1"/>
  <c r="CK27" i="1"/>
  <c r="CK27" i="2" s="1"/>
  <c r="CB26" i="1"/>
  <c r="CO27" i="1"/>
  <c r="CO27" i="2" s="1"/>
  <c r="CF26" i="1"/>
  <c r="CB66" i="1"/>
  <c r="BS37" i="1"/>
  <c r="BO67" i="1"/>
  <c r="BN67" i="2" s="1"/>
  <c r="BN66" i="1"/>
  <c r="CJ27" i="1"/>
  <c r="CJ27" i="2" s="1"/>
  <c r="CA26" i="1"/>
  <c r="CN27" i="1"/>
  <c r="CN27" i="2" s="1"/>
  <c r="CE26" i="1"/>
  <c r="BR36" i="1"/>
  <c r="BQ36" i="2" s="1"/>
  <c r="CH27" i="1"/>
  <c r="CH27" i="2" s="1"/>
  <c r="BY26" i="1"/>
  <c r="CL27" i="1"/>
  <c r="CL27" i="2" s="1"/>
  <c r="CC26" i="1"/>
  <c r="CP27" i="1"/>
  <c r="CP27" i="2" s="1"/>
  <c r="CG26" i="1"/>
  <c r="CG37" i="1"/>
  <c r="CF37" i="1"/>
  <c r="CH65" i="1"/>
  <c r="CH65" i="2" s="1"/>
  <c r="CI27" i="1"/>
  <c r="CI27" i="2" s="1"/>
  <c r="BZ26" i="1"/>
  <c r="CM27" i="1"/>
  <c r="CM27" i="2" s="1"/>
  <c r="CD26" i="1"/>
  <c r="BK25" i="1"/>
  <c r="CK28" i="1"/>
  <c r="CO28" i="1"/>
  <c r="CO28" i="2" s="1"/>
  <c r="CH28" i="1"/>
  <c r="CH28" i="2" s="1"/>
  <c r="CL28" i="1"/>
  <c r="CP28" i="1"/>
  <c r="CP28" i="2" s="1"/>
  <c r="CI28" i="1"/>
  <c r="CI28" i="2" s="1"/>
  <c r="CM28" i="1"/>
  <c r="CM28" i="2" s="1"/>
  <c r="CJ28" i="1"/>
  <c r="CJ28" i="2" s="1"/>
  <c r="CN28" i="1"/>
  <c r="CN28" i="2" s="1"/>
  <c r="CK67" i="1"/>
  <c r="CK67" i="2" s="1"/>
  <c r="CC67" i="1"/>
  <c r="CB67" i="2" s="1"/>
  <c r="CK68" i="1"/>
  <c r="CK68" i="2" s="1"/>
  <c r="CC68" i="1"/>
  <c r="CB68" i="2" s="1"/>
  <c r="BT81" i="1"/>
  <c r="BS81" i="2" s="1"/>
  <c r="CG64" i="1"/>
  <c r="CF64" i="1"/>
  <c r="CE64" i="1"/>
  <c r="CD64" i="1"/>
  <c r="CC64" i="1"/>
  <c r="CB64" i="1"/>
  <c r="CA64" i="1"/>
  <c r="BZ64" i="1"/>
  <c r="BY64" i="1"/>
  <c r="BS64" i="1"/>
  <c r="BR64" i="1"/>
  <c r="BQ64" i="1"/>
  <c r="BP64" i="1"/>
  <c r="BO64" i="1"/>
  <c r="BN64" i="1"/>
  <c r="BM64" i="1"/>
  <c r="BL64" i="1"/>
  <c r="BK64" i="1"/>
  <c r="BT26" i="1" l="1"/>
  <c r="BS26" i="2" s="1"/>
  <c r="BL63" i="1"/>
  <c r="BK64" i="2"/>
  <c r="BP63" i="1"/>
  <c r="BO64" i="2"/>
  <c r="BY63" i="1"/>
  <c r="BX64" i="2"/>
  <c r="CC63" i="1"/>
  <c r="CB64" i="2"/>
  <c r="CG63" i="1"/>
  <c r="CF64" i="2"/>
  <c r="CG25" i="1"/>
  <c r="CF25" i="2" s="1"/>
  <c r="CF26" i="2"/>
  <c r="BY25" i="1"/>
  <c r="BX25" i="2" s="1"/>
  <c r="BX26" i="2"/>
  <c r="BP68" i="1"/>
  <c r="BN68" i="2"/>
  <c r="CG93" i="1"/>
  <c r="CE93" i="2"/>
  <c r="CO93" i="1"/>
  <c r="CF91" i="1"/>
  <c r="CE91" i="2" s="1"/>
  <c r="BQ25" i="1"/>
  <c r="BP25" i="2" s="1"/>
  <c r="BP26" i="2"/>
  <c r="BP25" i="1"/>
  <c r="BO25" i="2" s="1"/>
  <c r="BO26" i="2"/>
  <c r="BM63" i="1"/>
  <c r="BL64" i="2"/>
  <c r="CD25" i="1"/>
  <c r="CC25" i="2" s="1"/>
  <c r="CC26" i="2"/>
  <c r="CA25" i="1"/>
  <c r="BZ25" i="2" s="1"/>
  <c r="BZ26" i="2"/>
  <c r="BS36" i="1"/>
  <c r="BR36" i="2" s="1"/>
  <c r="BR37" i="2"/>
  <c r="CB25" i="1"/>
  <c r="CA25" i="2" s="1"/>
  <c r="CA26" i="2"/>
  <c r="CJ65" i="1"/>
  <c r="CJ65" i="2" s="1"/>
  <c r="CJ66" i="2"/>
  <c r="BL25" i="1"/>
  <c r="BK25" i="2" s="1"/>
  <c r="BK26" i="2"/>
  <c r="BS25" i="1"/>
  <c r="BR25" i="2" s="1"/>
  <c r="BR26" i="2"/>
  <c r="BR25" i="1"/>
  <c r="BQ25" i="2" s="1"/>
  <c r="BQ26" i="2"/>
  <c r="BZ63" i="1"/>
  <c r="BY64" i="2"/>
  <c r="BN63" i="1"/>
  <c r="BM64" i="2"/>
  <c r="CK26" i="1"/>
  <c r="CK28" i="2"/>
  <c r="CF36" i="1"/>
  <c r="CE36" i="2" s="1"/>
  <c r="CE37" i="2"/>
  <c r="CC25" i="1"/>
  <c r="CB25" i="2" s="1"/>
  <c r="CB26" i="2"/>
  <c r="CB65" i="1"/>
  <c r="CA65" i="2" s="1"/>
  <c r="CA66" i="2"/>
  <c r="CN93" i="2"/>
  <c r="CN91" i="1"/>
  <c r="CN91" i="2" s="1"/>
  <c r="BM25" i="1"/>
  <c r="BL25" i="2" s="1"/>
  <c r="BL26" i="2"/>
  <c r="CM91" i="2"/>
  <c r="BQ63" i="1"/>
  <c r="BP64" i="2"/>
  <c r="CD63" i="1"/>
  <c r="CC64" i="2"/>
  <c r="BR63" i="1"/>
  <c r="BQ64" i="2"/>
  <c r="CA63" i="1"/>
  <c r="BZ64" i="2"/>
  <c r="CE63" i="1"/>
  <c r="CD64" i="2"/>
  <c r="BK63" i="1"/>
  <c r="BJ63" i="2" s="1"/>
  <c r="BJ64" i="2"/>
  <c r="BO63" i="1"/>
  <c r="BN64" i="2"/>
  <c r="BS63" i="1"/>
  <c r="BR64" i="2"/>
  <c r="CB63" i="1"/>
  <c r="CA64" i="2"/>
  <c r="CF63" i="1"/>
  <c r="CE64" i="2"/>
  <c r="CL26" i="1"/>
  <c r="CL28" i="2"/>
  <c r="BJ25" i="2"/>
  <c r="BZ25" i="1"/>
  <c r="BY25" i="2" s="1"/>
  <c r="BY26" i="2"/>
  <c r="CG36" i="1"/>
  <c r="CF36" i="2" s="1"/>
  <c r="CG36" i="2" s="1"/>
  <c r="CF37" i="2"/>
  <c r="CG37" i="2" s="1"/>
  <c r="CE25" i="1"/>
  <c r="CD25" i="2" s="1"/>
  <c r="CD26" i="2"/>
  <c r="BN65" i="1"/>
  <c r="BM65" i="2" s="1"/>
  <c r="BM66" i="2"/>
  <c r="CF25" i="1"/>
  <c r="CE25" i="2" s="1"/>
  <c r="CE26" i="2"/>
  <c r="BO25" i="1"/>
  <c r="BN25" i="2" s="1"/>
  <c r="BN26" i="2"/>
  <c r="BN25" i="1"/>
  <c r="BM25" i="2" s="1"/>
  <c r="BM26" i="2"/>
  <c r="CO26" i="1"/>
  <c r="CH26" i="1"/>
  <c r="CK66" i="1"/>
  <c r="CM26" i="1"/>
  <c r="BS36" i="2"/>
  <c r="CQ28" i="1"/>
  <c r="CJ26" i="1"/>
  <c r="CN26" i="1"/>
  <c r="CP26" i="1"/>
  <c r="BS37" i="2"/>
  <c r="BP67" i="1"/>
  <c r="BO67" i="2" s="1"/>
  <c r="BO66" i="1"/>
  <c r="CC66" i="1"/>
  <c r="CQ27" i="1"/>
  <c r="CI26" i="1"/>
  <c r="CI26" i="2" s="1"/>
  <c r="BT64" i="1"/>
  <c r="BS64" i="2" s="1"/>
  <c r="CK64" i="1"/>
  <c r="CO64" i="1"/>
  <c r="CI64" i="1"/>
  <c r="CM64" i="1"/>
  <c r="CH64" i="1"/>
  <c r="CH64" i="2" s="1"/>
  <c r="CL64" i="1"/>
  <c r="CP64" i="1"/>
  <c r="CJ64" i="1"/>
  <c r="CN64" i="1"/>
  <c r="CL68" i="1"/>
  <c r="CL68" i="2" s="1"/>
  <c r="CD68" i="1"/>
  <c r="CC68" i="2" s="1"/>
  <c r="CL67" i="1"/>
  <c r="CL67" i="2" s="1"/>
  <c r="CD67" i="1"/>
  <c r="CG25" i="2" l="1"/>
  <c r="CG26" i="2"/>
  <c r="CG64" i="2"/>
  <c r="BT63" i="1"/>
  <c r="BS63" i="2" s="1"/>
  <c r="CJ63" i="1"/>
  <c r="CJ64" i="2"/>
  <c r="CI63" i="1"/>
  <c r="CI64" i="2"/>
  <c r="CP25" i="1"/>
  <c r="CP25" i="2" s="1"/>
  <c r="CP26" i="2"/>
  <c r="CO25" i="1"/>
  <c r="CO25" i="2" s="1"/>
  <c r="CO26" i="2"/>
  <c r="BT25" i="1"/>
  <c r="BS25" i="2" s="1"/>
  <c r="CF59" i="1"/>
  <c r="CE63" i="2"/>
  <c r="BS59" i="1"/>
  <c r="BR63" i="2"/>
  <c r="CA59" i="1"/>
  <c r="BZ63" i="2"/>
  <c r="CD59" i="1"/>
  <c r="CC63" i="2"/>
  <c r="CK25" i="1"/>
  <c r="CK25" i="2" s="1"/>
  <c r="CK26" i="2"/>
  <c r="BZ59" i="1"/>
  <c r="BY63" i="2"/>
  <c r="CO93" i="2"/>
  <c r="CO91" i="1"/>
  <c r="BQ68" i="1"/>
  <c r="BO68" i="2"/>
  <c r="CC59" i="1"/>
  <c r="CB63" i="2"/>
  <c r="BP59" i="1"/>
  <c r="BO63" i="2"/>
  <c r="CY28" i="1"/>
  <c r="CY28" i="2" s="1"/>
  <c r="CQ28" i="2"/>
  <c r="CP63" i="1"/>
  <c r="CP64" i="2"/>
  <c r="CL63" i="1"/>
  <c r="CL64" i="2"/>
  <c r="CO63" i="1"/>
  <c r="CO64" i="2"/>
  <c r="CY27" i="1"/>
  <c r="CY27" i="2" s="1"/>
  <c r="CQ27" i="2"/>
  <c r="BK59" i="1"/>
  <c r="BJ59" i="2" s="1"/>
  <c r="CN25" i="1"/>
  <c r="CN25" i="2" s="1"/>
  <c r="CN26" i="2"/>
  <c r="CM25" i="1"/>
  <c r="CM25" i="2" s="1"/>
  <c r="CM26" i="2"/>
  <c r="CM63" i="1"/>
  <c r="CM64" i="2"/>
  <c r="CD66" i="1"/>
  <c r="CC67" i="2"/>
  <c r="CN63" i="1"/>
  <c r="CN64" i="2"/>
  <c r="CK63" i="1"/>
  <c r="CK64" i="2"/>
  <c r="CC65" i="1"/>
  <c r="CB65" i="2" s="1"/>
  <c r="CB66" i="2"/>
  <c r="CJ25" i="1"/>
  <c r="CJ25" i="2" s="1"/>
  <c r="CJ26" i="2"/>
  <c r="CK65" i="1"/>
  <c r="CK65" i="2" s="1"/>
  <c r="CK66" i="2"/>
  <c r="CL25" i="1"/>
  <c r="CL25" i="2" s="1"/>
  <c r="CL26" i="2"/>
  <c r="CB59" i="1"/>
  <c r="CA63" i="2"/>
  <c r="BO59" i="1"/>
  <c r="BN63" i="2"/>
  <c r="CE59" i="1"/>
  <c r="CD63" i="2"/>
  <c r="BR59" i="1"/>
  <c r="BQ63" i="2"/>
  <c r="BQ59" i="1"/>
  <c r="BP63" i="2"/>
  <c r="BN59" i="1"/>
  <c r="BM63" i="2"/>
  <c r="BM59" i="1"/>
  <c r="BL63" i="2"/>
  <c r="CF93" i="2"/>
  <c r="CG93" i="2" s="1"/>
  <c r="CP93" i="1"/>
  <c r="CG91" i="1"/>
  <c r="CF91" i="2" s="1"/>
  <c r="CG91" i="2" s="1"/>
  <c r="CG59" i="1"/>
  <c r="CF63" i="2"/>
  <c r="BY59" i="1"/>
  <c r="BX63" i="2"/>
  <c r="CG63" i="2" s="1"/>
  <c r="BL59" i="1"/>
  <c r="BK63" i="2"/>
  <c r="BO65" i="1"/>
  <c r="BN65" i="2" s="1"/>
  <c r="BN66" i="2"/>
  <c r="CH25" i="1"/>
  <c r="CH25" i="2" s="1"/>
  <c r="CH26" i="2"/>
  <c r="CY26" i="1"/>
  <c r="BQ67" i="1"/>
  <c r="BP67" i="2" s="1"/>
  <c r="BP66" i="1"/>
  <c r="BO66" i="2" s="1"/>
  <c r="CH63" i="1"/>
  <c r="CH63" i="2" s="1"/>
  <c r="CQ64" i="1"/>
  <c r="CL66" i="1"/>
  <c r="CL66" i="2" s="1"/>
  <c r="CI25" i="1"/>
  <c r="CQ26" i="1"/>
  <c r="CQ26" i="2" s="1"/>
  <c r="CM68" i="1"/>
  <c r="CM68" i="2" s="1"/>
  <c r="CE68" i="1"/>
  <c r="CD68" i="2" s="1"/>
  <c r="CM67" i="1"/>
  <c r="CM67" i="2" s="1"/>
  <c r="CE67" i="1"/>
  <c r="CD67" i="2" s="1"/>
  <c r="BK54" i="1" l="1"/>
  <c r="BJ54" i="2" s="1"/>
  <c r="BT59" i="1"/>
  <c r="BS59" i="2" s="1"/>
  <c r="BN54" i="1"/>
  <c r="BM54" i="2" s="1"/>
  <c r="BM59" i="2"/>
  <c r="BR54" i="1"/>
  <c r="BQ54" i="2" s="1"/>
  <c r="BQ59" i="2"/>
  <c r="BO54" i="1"/>
  <c r="BN54" i="2" s="1"/>
  <c r="BN59" i="2"/>
  <c r="CK59" i="1"/>
  <c r="CK63" i="2"/>
  <c r="CD65" i="1"/>
  <c r="CC65" i="2" s="1"/>
  <c r="CC66" i="2"/>
  <c r="BR68" i="1"/>
  <c r="BP68" i="2"/>
  <c r="BZ54" i="1"/>
  <c r="BY54" i="2" s="1"/>
  <c r="BY59" i="2"/>
  <c r="CD54" i="1"/>
  <c r="CC54" i="2" s="1"/>
  <c r="CC59" i="2"/>
  <c r="BS54" i="1"/>
  <c r="BR54" i="2" s="1"/>
  <c r="BR59" i="2"/>
  <c r="CY64" i="1"/>
  <c r="CQ64" i="2"/>
  <c r="BL54" i="1"/>
  <c r="BK54" i="2" s="1"/>
  <c r="BK59" i="2"/>
  <c r="CG54" i="1"/>
  <c r="CF54" i="2" s="1"/>
  <c r="CF59" i="2"/>
  <c r="CL59" i="1"/>
  <c r="CL63" i="2"/>
  <c r="CC54" i="1"/>
  <c r="CB54" i="2" s="1"/>
  <c r="CB59" i="2"/>
  <c r="CO91" i="2"/>
  <c r="CI59" i="1"/>
  <c r="CI63" i="2"/>
  <c r="BM54" i="1"/>
  <c r="BL54" i="2" s="1"/>
  <c r="BL59" i="2"/>
  <c r="BQ54" i="1"/>
  <c r="BP54" i="2" s="1"/>
  <c r="BP59" i="2"/>
  <c r="CE54" i="1"/>
  <c r="CD54" i="2" s="1"/>
  <c r="CD59" i="2"/>
  <c r="CB54" i="1"/>
  <c r="CA54" i="2" s="1"/>
  <c r="CA59" i="2"/>
  <c r="CN59" i="1"/>
  <c r="CN63" i="2"/>
  <c r="CM59" i="1"/>
  <c r="CM63" i="2"/>
  <c r="CA54" i="1"/>
  <c r="BZ54" i="2" s="1"/>
  <c r="BZ59" i="2"/>
  <c r="CF54" i="1"/>
  <c r="CE54" i="2" s="1"/>
  <c r="CE59" i="2"/>
  <c r="CQ25" i="1"/>
  <c r="CQ25" i="2" s="1"/>
  <c r="CI25" i="2"/>
  <c r="CY25" i="1"/>
  <c r="CY25" i="2" s="1"/>
  <c r="CY26" i="2"/>
  <c r="BY54" i="1"/>
  <c r="BX54" i="2" s="1"/>
  <c r="BX59" i="2"/>
  <c r="CP93" i="2"/>
  <c r="CP91" i="1"/>
  <c r="CP91" i="2" s="1"/>
  <c r="CQ93" i="1"/>
  <c r="CO59" i="1"/>
  <c r="CO63" i="2"/>
  <c r="CP59" i="1"/>
  <c r="CP63" i="2"/>
  <c r="BP54" i="1"/>
  <c r="BO54" i="2" s="1"/>
  <c r="BO59" i="2"/>
  <c r="CJ59" i="1"/>
  <c r="CJ63" i="2"/>
  <c r="CE66" i="1"/>
  <c r="CQ63" i="1"/>
  <c r="CQ63" i="2" s="1"/>
  <c r="CH59" i="1"/>
  <c r="CH59" i="2" s="1"/>
  <c r="BP65" i="1"/>
  <c r="BO65" i="2" s="1"/>
  <c r="CM66" i="1"/>
  <c r="BR67" i="1"/>
  <c r="BQ67" i="2" s="1"/>
  <c r="BQ66" i="1"/>
  <c r="CL65" i="1"/>
  <c r="CL65" i="2" s="1"/>
  <c r="CN67" i="1"/>
  <c r="CN67" i="2" s="1"/>
  <c r="CF67" i="1"/>
  <c r="CE67" i="2" s="1"/>
  <c r="CN68" i="1"/>
  <c r="CN68" i="2" s="1"/>
  <c r="CF68" i="1"/>
  <c r="CE68" i="2" s="1"/>
  <c r="CG59" i="2" l="1"/>
  <c r="CG54" i="2"/>
  <c r="CQ93" i="2"/>
  <c r="CY93" i="1"/>
  <c r="BT54" i="1"/>
  <c r="BS54" i="2" s="1"/>
  <c r="BQ65" i="1"/>
  <c r="BP65" i="2" s="1"/>
  <c r="BP66" i="2"/>
  <c r="CJ54" i="1"/>
  <c r="CJ54" i="2" s="1"/>
  <c r="CJ59" i="2"/>
  <c r="CP54" i="1"/>
  <c r="CP54" i="2" s="1"/>
  <c r="CP59" i="2"/>
  <c r="CM54" i="1"/>
  <c r="CM54" i="2" s="1"/>
  <c r="CM59" i="2"/>
  <c r="CI54" i="1"/>
  <c r="CI54" i="2" s="1"/>
  <c r="CI59" i="2"/>
  <c r="CY63" i="1"/>
  <c r="CY64" i="2"/>
  <c r="BS68" i="1"/>
  <c r="BQ68" i="2"/>
  <c r="CK54" i="1"/>
  <c r="CK54" i="2" s="1"/>
  <c r="CK59" i="2"/>
  <c r="CQ91" i="1"/>
  <c r="CQ91" i="2" s="1"/>
  <c r="CM65" i="1"/>
  <c r="CM65" i="2" s="1"/>
  <c r="CM66" i="2"/>
  <c r="CE65" i="1"/>
  <c r="CD66" i="2"/>
  <c r="CO54" i="1"/>
  <c r="CO54" i="2" s="1"/>
  <c r="CO59" i="2"/>
  <c r="CN54" i="1"/>
  <c r="CN54" i="2" s="1"/>
  <c r="CN59" i="2"/>
  <c r="CL54" i="1"/>
  <c r="CL54" i="2" s="1"/>
  <c r="CL59" i="2"/>
  <c r="CF66" i="1"/>
  <c r="CN66" i="1"/>
  <c r="BS67" i="1"/>
  <c r="BR66" i="1"/>
  <c r="CQ59" i="1"/>
  <c r="CQ59" i="2" s="1"/>
  <c r="CH54" i="1"/>
  <c r="CO68" i="1"/>
  <c r="CO68" i="2" s="1"/>
  <c r="CG68" i="1"/>
  <c r="CG67" i="1"/>
  <c r="CF67" i="2" s="1"/>
  <c r="CG67" i="2" s="1"/>
  <c r="CO67" i="1"/>
  <c r="CO67" i="2" s="1"/>
  <c r="CD65" i="2" l="1"/>
  <c r="CN65" i="1"/>
  <c r="CN65" i="2" s="1"/>
  <c r="CN66" i="2"/>
  <c r="BR68" i="2"/>
  <c r="BT68" i="1"/>
  <c r="BS68" i="2" s="1"/>
  <c r="CP68" i="1"/>
  <c r="CP68" i="2" s="1"/>
  <c r="CF68" i="2"/>
  <c r="CG68" i="2" s="1"/>
  <c r="CY59" i="1"/>
  <c r="CY63" i="2"/>
  <c r="CY93" i="2"/>
  <c r="CY91" i="1"/>
  <c r="CY91" i="2" s="1"/>
  <c r="CQ54" i="1"/>
  <c r="CQ54" i="2" s="1"/>
  <c r="CH54" i="2"/>
  <c r="CF65" i="1"/>
  <c r="CE65" i="2" s="1"/>
  <c r="CE66" i="2"/>
  <c r="BR65" i="1"/>
  <c r="BQ65" i="2" s="1"/>
  <c r="BQ66" i="2"/>
  <c r="BS66" i="1"/>
  <c r="BT66" i="1" s="1"/>
  <c r="BS66" i="2" s="1"/>
  <c r="BR67" i="2"/>
  <c r="CO66" i="1"/>
  <c r="CO66" i="2" s="1"/>
  <c r="BT67" i="1"/>
  <c r="BS67" i="2" s="1"/>
  <c r="CP67" i="1"/>
  <c r="CP67" i="2" s="1"/>
  <c r="CG66" i="1"/>
  <c r="CQ68" i="1" l="1"/>
  <c r="CQ68" i="2" s="1"/>
  <c r="CY68" i="1"/>
  <c r="CY68" i="2" s="1"/>
  <c r="CY54" i="1"/>
  <c r="CY54" i="2" s="1"/>
  <c r="CY59" i="2"/>
  <c r="CG65" i="1"/>
  <c r="CF65" i="2" s="1"/>
  <c r="CG65" i="2" s="1"/>
  <c r="CF66" i="2"/>
  <c r="CG66" i="2" s="1"/>
  <c r="BS65" i="1"/>
  <c r="BR66" i="2"/>
  <c r="CO65" i="1"/>
  <c r="CO65" i="2" s="1"/>
  <c r="CP66" i="1"/>
  <c r="CQ67" i="1"/>
  <c r="CY67" i="1" l="1"/>
  <c r="CQ67" i="2"/>
  <c r="BR65" i="2"/>
  <c r="BT65" i="1"/>
  <c r="BS65" i="2" s="1"/>
  <c r="CP65" i="1"/>
  <c r="CP65" i="2" s="1"/>
  <c r="CP66" i="2"/>
  <c r="CQ66" i="1"/>
  <c r="CQ66" i="2" s="1"/>
  <c r="CQ65" i="1" l="1"/>
  <c r="CY66" i="1"/>
  <c r="CY67" i="2"/>
  <c r="CQ65" i="2" l="1"/>
  <c r="CY65" i="1"/>
  <c r="CY65" i="2" s="1"/>
  <c r="CY66" i="2"/>
</calcChain>
</file>

<file path=xl/comments1.xml><?xml version="1.0" encoding="utf-8"?>
<comments xmlns="http://schemas.openxmlformats.org/spreadsheetml/2006/main">
  <authors>
    <author>Edwin Vega-Araya</author>
    <author>Vega_Araya Edwin_Eduardo</author>
  </authors>
  <commentList>
    <comment ref="B41"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B42"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B43"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B46"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A48" authorId="0" shapeId="0">
      <text>
        <r>
          <rPr>
            <b/>
            <sz val="9"/>
            <color indexed="81"/>
            <rFont val="Tahoma"/>
            <family val="2"/>
          </rPr>
          <t>Edwin Vega-Araya:</t>
        </r>
        <r>
          <rPr>
            <sz val="9"/>
            <color indexed="81"/>
            <rFont val="Tahoma"/>
            <family val="2"/>
          </rPr>
          <t xml:space="preserve">
Ya está, la Estrategia para la Ganadería Baja en Carbono, al que habría que agregar otros cultivos y plantaciones forestales.</t>
        </r>
      </text>
    </comment>
    <comment ref="B49"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B51"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B52"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B57"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B59" authorId="0" shapeId="0">
      <text>
        <r>
          <rPr>
            <b/>
            <sz val="9"/>
            <color indexed="81"/>
            <rFont val="Tahoma"/>
            <family val="2"/>
          </rPr>
          <t>Edwin Vega-Araya:</t>
        </r>
        <r>
          <rPr>
            <sz val="9"/>
            <color indexed="81"/>
            <rFont val="Tahoma"/>
            <family val="2"/>
          </rPr>
          <t xml:space="preserve">
Promovido por PNUD</t>
        </r>
      </text>
    </comment>
    <comment ref="B61"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B65"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B73"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B80"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B81"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A88"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B88"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B93" authorId="0" shapeId="0">
      <text>
        <r>
          <rPr>
            <b/>
            <sz val="9"/>
            <color indexed="81"/>
            <rFont val="Tahoma"/>
            <family val="2"/>
          </rPr>
          <t>Edwin Vega-Araya:</t>
        </r>
        <r>
          <rPr>
            <sz val="9"/>
            <color indexed="81"/>
            <rFont val="Tahoma"/>
            <family val="2"/>
          </rPr>
          <t xml:space="preserve">
En PAAs de EV</t>
        </r>
      </text>
    </comment>
    <comment ref="B106"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B109"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B114"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B121"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B124"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B133"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B134"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A135" authorId="0" shapeId="0">
      <text>
        <r>
          <rPr>
            <b/>
            <sz val="9"/>
            <color indexed="81"/>
            <rFont val="Tahoma"/>
            <family val="2"/>
          </rPr>
          <t>Edwin Vega-Araya:</t>
        </r>
        <r>
          <rPr>
            <sz val="9"/>
            <color indexed="81"/>
            <rFont val="Tahoma"/>
            <family val="2"/>
          </rPr>
          <t xml:space="preserve">
OJO: No se incluyó como cajita en el mapa mental el aprovechar el potencial REDD+ del PNE</t>
        </r>
      </text>
    </comment>
    <comment ref="B145" authorId="1"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A152" authorId="1"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B161"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B165"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B191"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 ref="A216"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List>
</comments>
</file>

<file path=xl/comments2.xml><?xml version="1.0" encoding="utf-8"?>
<comments xmlns="http://schemas.openxmlformats.org/spreadsheetml/2006/main">
  <authors>
    <author>Edwin Vega-Araya</author>
    <author>harce</author>
    <author>Carlos Varela Jimenez</author>
    <author>José Joaquin Calvo Domingo</author>
    <author>Magally Castro Alvarez</author>
    <author>Vega_Araya Edwin_Eduardo</author>
  </authors>
  <commentList>
    <comment ref="P1" authorId="0" shapeId="0">
      <text>
        <r>
          <rPr>
            <b/>
            <sz val="9"/>
            <color indexed="81"/>
            <rFont val="Tahoma"/>
            <family val="2"/>
          </rPr>
          <t>Edwin Vega-Araya:</t>
        </r>
        <r>
          <rPr>
            <sz val="9"/>
            <color indexed="81"/>
            <rFont val="Tahoma"/>
            <family val="2"/>
          </rPr>
          <t xml:space="preserve">
Versión original, desactualizado.  Ver columnas D a G para versión actualizada.</t>
        </r>
      </text>
    </comment>
    <comment ref="A2" authorId="0" shapeId="0">
      <text>
        <r>
          <rPr>
            <b/>
            <sz val="9"/>
            <color indexed="81"/>
            <rFont val="Tahoma"/>
            <family val="2"/>
          </rPr>
          <t>Edwin Vega-Araya:</t>
        </r>
        <r>
          <rPr>
            <sz val="9"/>
            <color indexed="81"/>
            <rFont val="Tahoma"/>
            <family val="2"/>
          </rPr>
          <t xml:space="preserve">
Originales, ver columnas C yN para la versión actualizada.</t>
        </r>
      </text>
    </comment>
    <comment ref="R2" authorId="0" shapeId="0">
      <text>
        <r>
          <rPr>
            <b/>
            <sz val="9"/>
            <color indexed="81"/>
            <rFont val="Tahoma"/>
            <family val="2"/>
          </rPr>
          <t>Edwin Vega-Araya:</t>
        </r>
        <r>
          <rPr>
            <sz val="9"/>
            <color indexed="81"/>
            <rFont val="Tahoma"/>
            <family val="2"/>
          </rPr>
          <t xml:space="preserve">
Implementador principal  (IP), Implementador de Apoyo (IA)</t>
        </r>
      </text>
    </comment>
    <comment ref="BG2" authorId="0" shapeId="0">
      <text>
        <r>
          <rPr>
            <b/>
            <sz val="9"/>
            <color indexed="81"/>
            <rFont val="Tahoma"/>
            <family val="2"/>
          </rPr>
          <t>Edwin Vega-Araya:</t>
        </r>
        <r>
          <rPr>
            <sz val="9"/>
            <color indexed="81"/>
            <rFont val="Tahoma"/>
            <family val="2"/>
          </rPr>
          <t xml:space="preserve">
El Plan Financiero desarrollado por Terra Global para la Secretaría de REDD+ CR tiene los siguientes capítulos:
1. REDD+ </t>
        </r>
        <r>
          <rPr>
            <b/>
            <sz val="9"/>
            <color indexed="81"/>
            <rFont val="Tahoma"/>
            <family val="2"/>
          </rPr>
          <t>PROGRAM ADMINISTRATION AND MANAGEMENT</t>
        </r>
        <r>
          <rPr>
            <sz val="9"/>
            <color indexed="81"/>
            <rFont val="Tahoma"/>
            <family val="2"/>
          </rPr>
          <t xml:space="preserve"> COSTS
   1.1 STAFFING COSTS
   1.2 KEY </t>
        </r>
        <r>
          <rPr>
            <b/>
            <sz val="9"/>
            <color indexed="81"/>
            <rFont val="Tahoma"/>
            <family val="2"/>
          </rPr>
          <t>CONSULTANCIES AND STUDIES</t>
        </r>
        <r>
          <rPr>
            <sz val="9"/>
            <color indexed="81"/>
            <rFont val="Tahoma"/>
            <family val="2"/>
          </rPr>
          <t xml:space="preserve">
   1.3 TRAVEL TO SUPPORT MANAGEMENT OF ER PROGRAM
   1.5 STAKEHOLDER ENGAGEMENT
      1.5.1 Stakeholder Meetings
      1.5.2 Stakeholder Consultants and Communication
   1.6 SAFEGUARDS AND REDRESS SYSTEMS
      1.6.1 Safeguards Monitoring
      1.6.2 Redress and Grievances
   1.7 BENEFITS PLAN MANAGEMENT
   1.8 EMISSION REDUCTION QUANTIFICATION, VERIFICATION AND ISSUANCE
2 REDD+ PROGRAM ACTIVITIES COSTS
   2.1    </t>
        </r>
        <r>
          <rPr>
            <b/>
            <sz val="9"/>
            <color indexed="81"/>
            <rFont val="Tahoma"/>
            <family val="2"/>
          </rPr>
          <t>FONAFIFO</t>
        </r>
        <r>
          <rPr>
            <sz val="9"/>
            <color indexed="81"/>
            <rFont val="Tahoma"/>
            <family val="2"/>
          </rPr>
          <t xml:space="preserve"> PAYMENT FOR ENVIRONMENTAL SERVICES (PSA)
   2.2    </t>
        </r>
        <r>
          <rPr>
            <b/>
            <sz val="9"/>
            <color indexed="81"/>
            <rFont val="Tahoma"/>
            <family val="2"/>
          </rPr>
          <t>SINAC</t>
        </r>
        <r>
          <rPr>
            <sz val="9"/>
            <color indexed="81"/>
            <rFont val="Tahoma"/>
            <family val="2"/>
          </rPr>
          <t xml:space="preserve"> INCREASED GOVERNANCE/SIZE OF PROTECTED AREAS
Los puestos en Negrita son los que aparecen en la tabla</t>
        </r>
      </text>
    </comment>
    <comment ref="I3" authorId="0" shapeId="0">
      <text>
        <r>
          <rPr>
            <b/>
            <sz val="9"/>
            <color indexed="81"/>
            <rFont val="Tahoma"/>
            <family val="2"/>
          </rPr>
          <t>Edwin Vega-Araya:</t>
        </r>
        <r>
          <rPr>
            <sz val="9"/>
            <color indexed="81"/>
            <rFont val="Tahoma"/>
            <family val="2"/>
          </rPr>
          <t xml:space="preserve">
VER ABAJO EL SIGNIFICADO DE LOS CÓDIGOS</t>
        </r>
      </text>
    </comment>
    <comment ref="J3" authorId="0" shapeId="0">
      <text>
        <r>
          <rPr>
            <b/>
            <sz val="9"/>
            <color indexed="81"/>
            <rFont val="Tahoma"/>
            <family val="2"/>
          </rPr>
          <t>Edwin Vega-Araya:</t>
        </r>
        <r>
          <rPr>
            <sz val="9"/>
            <color indexed="81"/>
            <rFont val="Tahoma"/>
            <family val="2"/>
          </rPr>
          <t xml:space="preserve">
VER ABAJO EL SIGNIFICADO DE LOS CÓDIGOS</t>
        </r>
      </text>
    </comment>
    <comment ref="CS3" authorId="0" shapeId="0">
      <text>
        <r>
          <rPr>
            <b/>
            <sz val="9"/>
            <color indexed="81"/>
            <rFont val="Tahoma"/>
            <family val="2"/>
          </rPr>
          <t>Edwin Vega-Araya:</t>
        </r>
        <r>
          <rPr>
            <sz val="9"/>
            <color indexed="81"/>
            <rFont val="Tahoma"/>
            <family val="2"/>
          </rPr>
          <t xml:space="preserve">
Identificar en la fórmula en el Archivo Plan de Implementación V7 las actividades de "Plan Adq FPrep2" que integran cada monto.</t>
        </r>
      </text>
    </comment>
    <comment ref="CT3" authorId="0" shapeId="0">
      <text>
        <r>
          <rPr>
            <b/>
            <sz val="9"/>
            <color indexed="81"/>
            <rFont val="Tahoma"/>
            <family val="2"/>
          </rPr>
          <t xml:space="preserve">Edwin Vega-Araya: </t>
        </r>
        <r>
          <rPr>
            <sz val="9"/>
            <color indexed="81"/>
            <rFont val="Tahoma"/>
            <family val="2"/>
          </rPr>
          <t xml:space="preserve">Revisar en el Plan de Adquisiciones la distribución entre 2016, 2017 y 2018 de estos fondos.
</t>
        </r>
      </text>
    </comment>
    <comment ref="C6"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O6"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AI6" authorId="0" shapeId="0">
      <text>
        <r>
          <rPr>
            <b/>
            <sz val="9"/>
            <color indexed="81"/>
            <rFont val="Tahoma"/>
            <family val="2"/>
          </rPr>
          <t>Edwin Vega-Araya:</t>
        </r>
        <r>
          <rPr>
            <sz val="9"/>
            <color indexed="81"/>
            <rFont val="Tahoma"/>
            <family val="2"/>
          </rPr>
          <t xml:space="preserve">
La cifra en dólares se convierte a colones a un tipo de cambio de 550 colones por US$.  Supone un tamaño de finca medio de 20 ha. Y un costo de implementación de medidas según la estimación realizada en "Costos de Implementación en el campo".
Es un promedio ponderado donde los ponderadores vienen del Censo Agropecuario.  Se censaron 93 017 fincas con extención total de 2 406 418 ha lo que da un promedio de casi 26 ha por finca.  Como entre las fincas censadas van fincas de protección incluídas, se considera que 20 ha como extensión media de fincas ganaderas y 10 ha como extensión media de fincas agrícolas es bueno.  Los ponderadores usados se basan en que 1 044 909,6 / 2 406 418,4 = 43,4% es extensión dedicada a pastos; (167 163,4 + 377 214,2) / 2 406 418,4 = 22,6% es dedicada a labranza y cultivos permanentes.  736 502,2 / 2 406 418,4 = 30,6% es dedicada a bosques.  El resto (3,4%) es de otros usos.  Considerando solamente las extensiones dedicadas a pastos y las de agrícolas los ponderadores serían 43,4 x 100 / (43,4+22,6) = 65,8 para "ganaderas" y 22,6 x 100 / 66 = 34,2 para "agrícolas".  El supuesto para el cálculo es que el crédito se distribuirá proporcionalmente entre las hectáreas en ganadería y las hectáreas en agricultura según éstas se distribuyen en las fincas censadas; y que el índice de morosidad será aproximadamente un 6% (El máximo permitido por la Superintendencia General de Entidades Financieras (Sugef) es de 3% de mora mayor a 90 días).</t>
        </r>
      </text>
    </comment>
    <comment ref="AI7" authorId="0" shapeId="0">
      <text>
        <r>
          <rPr>
            <b/>
            <sz val="9"/>
            <color indexed="81"/>
            <rFont val="Tahoma"/>
            <family val="2"/>
          </rPr>
          <t>Edwin Vega-Araya:</t>
        </r>
        <r>
          <rPr>
            <sz val="9"/>
            <color indexed="81"/>
            <rFont val="Tahoma"/>
            <family val="2"/>
          </rPr>
          <t xml:space="preserve">
Para determinar el número de fincas que en promedio significan esta cantidad de ha, se divide entre 10 que es el tamaño de finca promedio.  En el indicador anteriror, para las fincas ganaderas, el divisor es 20 ya que se estima en 20 ha el tamaño de finca promedio de las mismas.</t>
        </r>
      </text>
    </comment>
    <comment ref="C8"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O8"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BK8" authorId="0" shapeId="0">
      <text>
        <r>
          <rPr>
            <b/>
            <sz val="9"/>
            <color indexed="81"/>
            <rFont val="Tahoma"/>
            <family val="2"/>
          </rPr>
          <t>Edwin Vega-Araya:</t>
        </r>
        <r>
          <rPr>
            <sz val="9"/>
            <color indexed="81"/>
            <rFont val="Tahoma"/>
            <family val="2"/>
          </rPr>
          <t xml:space="preserve">
costo por capacitación es aproximado según la Gerencia de Participación Ciudadana y Gobernanza (300,000 colones)</t>
        </r>
      </text>
    </comment>
    <comment ref="A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C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O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AM9" authorId="1" shapeId="0">
      <text>
        <r>
          <rPr>
            <b/>
            <sz val="9"/>
            <color indexed="81"/>
            <rFont val="Tahoma"/>
            <family val="2"/>
          </rPr>
          <t>harce:</t>
        </r>
        <r>
          <rPr>
            <sz val="9"/>
            <color indexed="81"/>
            <rFont val="Tahoma"/>
            <family val="2"/>
          </rPr>
          <t xml:space="preserve">
se supone que para ese año FONAFIFO será operador del sistema de Banca para el Desarrollo 
s</t>
        </r>
      </text>
    </comment>
    <comment ref="AW9" authorId="0" shapeId="0">
      <text>
        <r>
          <rPr>
            <b/>
            <sz val="9"/>
            <color indexed="81"/>
            <rFont val="Tahoma"/>
            <family val="2"/>
          </rPr>
          <t>Edwin Vega-Araya:</t>
        </r>
        <r>
          <rPr>
            <sz val="9"/>
            <color indexed="81"/>
            <rFont val="Tahoma"/>
            <family val="2"/>
          </rPr>
          <t xml:space="preserve">
Ojo que es el dato incremental, corregir al pasar.
CORREGIDO 14/11/2016</t>
        </r>
      </text>
    </comment>
    <comment ref="BB9" authorId="1" shapeId="0">
      <text>
        <r>
          <rPr>
            <b/>
            <sz val="9"/>
            <color indexed="81"/>
            <rFont val="Tahoma"/>
            <family val="2"/>
          </rPr>
          <t>harce:</t>
        </r>
        <r>
          <rPr>
            <sz val="9"/>
            <color indexed="81"/>
            <rFont val="Tahoma"/>
            <family val="2"/>
          </rPr>
          <t xml:space="preserve">
se estima que al menos 6 millones de dolares de los posibles beneficios de REDD+ deben pasar al programa de crédito para apoyar ele stablecimiento de plantaciones y sistemas agroforestales. Al colocar estos recursp en crédito esta ganando todo el sector forestal ya que se da sostenibilidad financiera debido a los retornos.
</t>
        </r>
        <r>
          <rPr>
            <b/>
            <sz val="9"/>
            <color indexed="81"/>
            <rFont val="Tahoma"/>
            <family val="2"/>
          </rPr>
          <t xml:space="preserve">evega:
</t>
        </r>
        <r>
          <rPr>
            <sz val="9"/>
            <color indexed="81"/>
            <rFont val="Tahoma"/>
            <family val="2"/>
          </rPr>
          <t>Se estima que se agregará 1,000,000 por año desde 2019 hasta 2023.</t>
        </r>
      </text>
    </comment>
    <comment ref="BK9" authorId="0" shapeId="0">
      <text>
        <r>
          <rPr>
            <b/>
            <sz val="9"/>
            <color indexed="81"/>
            <rFont val="Tahoma"/>
            <family val="2"/>
          </rPr>
          <t>Edwin Vega-Araya:</t>
        </r>
        <r>
          <rPr>
            <sz val="9"/>
            <color indexed="81"/>
            <rFont val="Tahoma"/>
            <family val="2"/>
          </rPr>
          <t xml:space="preserve">
Los costos sin y con REDD+ son iguales corresponden a la operación del departamento.  Zoila pasó el dato el 15/11/2016 por email.   Se agrega el aporte en la situación Con REDD+ de los aportes de la Preparación de la Segunda donación.</t>
        </r>
      </text>
    </comment>
    <comment ref="BY9"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BZ9"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C12"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O12"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BK12" authorId="0" shapeId="0">
      <text>
        <r>
          <rPr>
            <b/>
            <sz val="9"/>
            <color indexed="81"/>
            <rFont val="Tahoma"/>
            <family val="2"/>
          </rPr>
          <t>Edwin Vega-Araya:</t>
        </r>
        <r>
          <rPr>
            <sz val="9"/>
            <color indexed="81"/>
            <rFont val="Tahoma"/>
            <family val="2"/>
          </rPr>
          <t xml:space="preserve">
Es una actividad nueva por lo que no lleva "Sin REDD+"</t>
        </r>
      </text>
    </comment>
    <comment ref="BY12" authorId="0" shapeId="0">
      <text>
        <r>
          <rPr>
            <b/>
            <sz val="9"/>
            <color indexed="81"/>
            <rFont val="Tahoma"/>
            <family val="2"/>
          </rPr>
          <t>Edwin Vega-Araya:</t>
        </r>
        <r>
          <rPr>
            <sz val="9"/>
            <color indexed="81"/>
            <rFont val="Tahoma"/>
            <family val="2"/>
          </rPr>
          <t xml:space="preserve">
Consiste en una consultoría + un sistema de información digital en línea con el Sistema Nacional de Métrica que desarrolle la DCC.
Consultoría de un equipo que haga las dos cosas un año de duración $120,000.  La consultoría para el mecanismo de compensación que lleva parámetros similares está valorada en ese monto.</t>
        </r>
      </text>
    </comment>
    <comment ref="O14"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Directriz ministerial con lo del Programa de Bosques y Desarrollo Rural).  Serían profesionales.</t>
        </r>
      </text>
    </comment>
    <comment ref="AJ14" authorId="0" shapeId="0">
      <text>
        <r>
          <rPr>
            <b/>
            <sz val="9"/>
            <color indexed="81"/>
            <rFont val="Tahoma"/>
            <family val="2"/>
          </rPr>
          <t>Edwin Vega-Araya:</t>
        </r>
        <r>
          <rPr>
            <sz val="9"/>
            <color indexed="81"/>
            <rFont val="Tahoma"/>
            <family val="2"/>
          </rPr>
          <t xml:space="preserve">
El costo unitario de cada evento se estima en 330.800 colones según estimación del SINAC para el componente de capacitación en la actividad de "fortalecer el control comunitario de deforestación", en este mismo ejercicio, entre el salario profesional, combustibles, viáticos, materiales, etc.</t>
        </r>
      </text>
    </comment>
    <comment ref="AK14" authorId="0" shapeId="0">
      <text>
        <r>
          <rPr>
            <b/>
            <sz val="9"/>
            <color indexed="81"/>
            <rFont val="Tahoma"/>
            <family val="2"/>
          </rPr>
          <t>Edwin Vega-Araya:</t>
        </r>
        <r>
          <rPr>
            <sz val="9"/>
            <color indexed="81"/>
            <rFont val="Tahoma"/>
            <family val="2"/>
          </rPr>
          <t xml:space="preserve">
Se espera al menos un taller de capacitación por región.</t>
        </r>
      </text>
    </comment>
    <comment ref="AV14" authorId="0" shapeId="0">
      <text>
        <r>
          <rPr>
            <b/>
            <sz val="9"/>
            <color indexed="81"/>
            <rFont val="Tahoma"/>
            <family val="2"/>
          </rPr>
          <t>Edwin Vega-Araya:</t>
        </r>
        <r>
          <rPr>
            <sz val="9"/>
            <color indexed="81"/>
            <rFont val="Tahoma"/>
            <family val="2"/>
          </rPr>
          <t xml:space="preserve">
Con REDD+ se podría incrementar la cantidad de talleres a cerca de 3 talleres anuales por región.</t>
        </r>
      </text>
    </comment>
    <comment ref="BL14" authorId="0" shapeId="0">
      <text>
        <r>
          <rPr>
            <b/>
            <sz val="9"/>
            <color indexed="81"/>
            <rFont val="Tahoma"/>
            <family val="2"/>
          </rPr>
          <t>Edwin Vega-Araya:</t>
        </r>
        <r>
          <rPr>
            <sz val="9"/>
            <color indexed="81"/>
            <rFont val="Tahoma"/>
            <family val="2"/>
          </rPr>
          <t xml:space="preserve">
Se supone un incremento anual en costos del 5%</t>
        </r>
      </text>
    </comment>
    <comment ref="BZ14" authorId="0" shapeId="0">
      <text>
        <r>
          <rPr>
            <b/>
            <sz val="9"/>
            <color indexed="81"/>
            <rFont val="Tahoma"/>
            <family val="2"/>
          </rPr>
          <t>Edwin Vega-Araya:</t>
        </r>
        <r>
          <rPr>
            <sz val="9"/>
            <color indexed="81"/>
            <rFont val="Tahoma"/>
            <family val="2"/>
          </rPr>
          <t xml:space="preserve">
Se supone un incremento anual en costos del 5%</t>
        </r>
      </text>
    </comment>
    <comment ref="C15"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O15"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BZ15" authorId="0" shapeId="0">
      <text>
        <r>
          <rPr>
            <b/>
            <sz val="9"/>
            <color indexed="81"/>
            <rFont val="Tahoma"/>
            <family val="2"/>
          </rPr>
          <t>Edwin Vega-Araya:</t>
        </r>
        <r>
          <rPr>
            <sz val="9"/>
            <color indexed="81"/>
            <rFont val="Tahoma"/>
            <family val="2"/>
          </rPr>
          <t xml:space="preserve">
Se acumulan los del año anterior con los nuevos</t>
        </r>
      </text>
    </comment>
    <comment ref="A17" authorId="0" shapeId="0">
      <text>
        <r>
          <rPr>
            <b/>
            <sz val="9"/>
            <color indexed="81"/>
            <rFont val="Tahoma"/>
            <family val="2"/>
          </rPr>
          <t>Edwin Vega-Araya:</t>
        </r>
        <r>
          <rPr>
            <sz val="9"/>
            <color indexed="81"/>
            <rFont val="Tahoma"/>
            <family val="2"/>
          </rPr>
          <t xml:space="preserve">
Revisar porque debería ser la ONF ya que con la preparación hay $582.000 para fortalecer los modelos de negocio y no se visualiza.</t>
        </r>
      </text>
    </comment>
    <comment ref="C17"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O17"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AV17" authorId="0" shapeId="0">
      <text>
        <r>
          <rPr>
            <b/>
            <sz val="9"/>
            <color indexed="81"/>
            <rFont val="Tahoma"/>
            <family val="2"/>
          </rPr>
          <t>Edwin Vega-Araya:</t>
        </r>
        <r>
          <rPr>
            <sz val="9"/>
            <color indexed="81"/>
            <rFont val="Tahoma"/>
            <family val="2"/>
          </rPr>
          <t xml:space="preserve">
Basado en el Plan de Adquisiciones segunda donación para REDD+</t>
        </r>
      </text>
    </comment>
    <comment ref="C18"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F18" authorId="0" shapeId="0">
      <text>
        <r>
          <rPr>
            <b/>
            <sz val="9"/>
            <color indexed="81"/>
            <rFont val="Tahoma"/>
            <family val="2"/>
          </rPr>
          <t>Edwin Vega-Araya:</t>
        </r>
        <r>
          <rPr>
            <sz val="9"/>
            <color indexed="81"/>
            <rFont val="Tahoma"/>
            <family val="2"/>
          </rPr>
          <t xml:space="preserve">
Faltaría agregar el costo de seguimiento que es la pesona que va metiendo la información y el soporte informático donde va a estar que esté sostenido y no se caiga (Servidor y capacidad del servidor). Consultar a María Isabel. Con el Plan de Adquisiciones se hace la inversión, pero la operación (seguimiento o monitoreo) falta de incluirlo.  Actualmente la institución le paga a ADDAX.</t>
        </r>
      </text>
    </comment>
    <comment ref="O18"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Q18" authorId="0" shapeId="0">
      <text>
        <r>
          <rPr>
            <b/>
            <sz val="9"/>
            <color indexed="81"/>
            <rFont val="Tahoma"/>
            <family val="2"/>
          </rPr>
          <t>Edwin Vega-Araya:</t>
        </r>
        <r>
          <rPr>
            <sz val="9"/>
            <color indexed="81"/>
            <rFont val="Tahoma"/>
            <family val="2"/>
          </rPr>
          <t xml:space="preserve">
Faltaría agregar el costo de seguimiento que es la pesona que va metiendo la información y el soporte informático donde va a estar que esté sostenido y no se caiga (Servidor y capacidad del servidor). Consultar a María Isabel. Con el Plan de Adquisiciones se hace la inversión, pero la operación (seguimiento o monitoreo) falta de incluirlo.  Actualmente la institución le paga a ADDAX.</t>
        </r>
      </text>
    </comment>
    <comment ref="AI18" authorId="0" shapeId="0">
      <text>
        <r>
          <rPr>
            <b/>
            <sz val="9"/>
            <color indexed="81"/>
            <rFont val="Tahoma"/>
            <family val="2"/>
          </rPr>
          <t>Edwin Vega-Araya:</t>
        </r>
        <r>
          <rPr>
            <sz val="9"/>
            <color indexed="81"/>
            <rFont val="Tahoma"/>
            <family val="2"/>
          </rPr>
          <t xml:space="preserve">
La meta es que esta relación se vaya reduciendo en el tiempo.  Lo que hay que mejorar es la parte de la vigilancia en la industria pues la parte de los permisos si es más confiable.  
Los m3 de madera en permisos se publican anualmente en el informe SEMEC de SINAC, en los permisos de aprovechamiento maderable.
Los m3 de madera en industria del cuadro de volumen reportado en centros de aserrío.</t>
        </r>
      </text>
    </comment>
    <comment ref="BJ18" authorId="0" shapeId="0">
      <text>
        <r>
          <rPr>
            <b/>
            <sz val="9"/>
            <color indexed="81"/>
            <rFont val="Tahoma"/>
            <family val="2"/>
          </rPr>
          <t>Edwin Vega-Araya:</t>
        </r>
        <r>
          <rPr>
            <sz val="9"/>
            <color indexed="81"/>
            <rFont val="Tahoma"/>
            <family val="2"/>
          </rPr>
          <t xml:space="preserve">
Supuestos:
un promedio de (1 profesional medio tiempo + 1 técnico tiempo completo + funcionarios de control a 1/2 tiempo) por oficina subregional y son 33 oficinas.
Salario del profesionas = 1.2
00.000
Salario del técnico = 800.000
Salario del funcionario del control=600.000
Gasto mensual 8 viáticos el técnico, 12 los de control, a 5.150 el viático.
Equipo: gasolina: 12x5000 + equipo 10.000/mes.</t>
        </r>
      </text>
    </comment>
    <comment ref="BY18" authorId="0" shapeId="0">
      <text>
        <r>
          <rPr>
            <b/>
            <sz val="9"/>
            <color indexed="81"/>
            <rFont val="Tahoma"/>
            <family val="2"/>
          </rPr>
          <t>Edwin Vega-Araya:</t>
        </r>
        <r>
          <rPr>
            <sz val="9"/>
            <color indexed="81"/>
            <rFont val="Tahoma"/>
            <family val="2"/>
          </rPr>
          <t xml:space="preserve">
Supuestos:
un promedio de (1 profesional medio tiempo + 1 técnico tiempo completo Y OTRO A MEDIO TIEMPO + 2 funcionarios de control a TIEMPO COMPLETO ) por oficina subregional y son 33 oficinas.
Salario del profesionas = 1.200.000
Salario del técnico = 800.000
Salario del funcionario del control=600.000
Gasto mensual 12 viáticos el técnico, 24 los de control, a 5.150 el viático.
Equipo: gasolina: 24x5000 + equipo 15.000/mes.</t>
        </r>
      </text>
    </comment>
    <comment ref="C20"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O20"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BY20" authorId="0" shapeId="0">
      <text>
        <r>
          <rPr>
            <b/>
            <sz val="9"/>
            <color indexed="81"/>
            <rFont val="Tahoma"/>
            <family val="2"/>
          </rPr>
          <t>Edwin Vega-Araya:</t>
        </r>
        <r>
          <rPr>
            <sz val="9"/>
            <color indexed="81"/>
            <rFont val="Tahoma"/>
            <family val="2"/>
          </rPr>
          <t xml:space="preserve">
El costo de cada estudio se estima equivalente a una consultoría de U$24,000</t>
        </r>
      </text>
    </comment>
    <comment ref="C22" authorId="0" shapeId="0">
      <text>
        <r>
          <rPr>
            <b/>
            <sz val="9"/>
            <color indexed="81"/>
            <rFont val="Tahoma"/>
            <family val="2"/>
          </rPr>
          <t>Edwin Vega-Araya:</t>
        </r>
        <r>
          <rPr>
            <sz val="9"/>
            <color indexed="81"/>
            <rFont val="Tahoma"/>
            <family val="2"/>
          </rPr>
          <t xml:space="preserve">
Promovido por PNUD</t>
        </r>
      </text>
    </comment>
    <comment ref="O22" authorId="0" shapeId="0">
      <text>
        <r>
          <rPr>
            <b/>
            <sz val="9"/>
            <color indexed="81"/>
            <rFont val="Tahoma"/>
            <family val="2"/>
          </rPr>
          <t>Edwin Vega-Araya:</t>
        </r>
        <r>
          <rPr>
            <sz val="9"/>
            <color indexed="81"/>
            <rFont val="Tahoma"/>
            <family val="2"/>
          </rPr>
          <t xml:space="preserve">
Promovido por PNUD</t>
        </r>
      </text>
    </comment>
    <comment ref="AI22" authorId="0" shapeId="0">
      <text>
        <r>
          <rPr>
            <b/>
            <sz val="9"/>
            <color indexed="81"/>
            <rFont val="Tahoma"/>
            <family val="2"/>
          </rPr>
          <t>Edwin Vega-Araya:</t>
        </r>
        <r>
          <rPr>
            <sz val="9"/>
            <color indexed="81"/>
            <rFont val="Tahoma"/>
            <family val="2"/>
          </rPr>
          <t xml:space="preserve">
Ya la de Piña está.  Faltarían los otros 2 cultivos y están contemplados en el Plan de Adquisisiones</t>
        </r>
      </text>
    </comment>
    <comment ref="C24"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O24"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AL24" authorId="0" shapeId="0">
      <text>
        <r>
          <rPr>
            <b/>
            <sz val="9"/>
            <color indexed="81"/>
            <rFont val="Tahoma"/>
            <family val="2"/>
          </rPr>
          <t>Edwin Vega-Araya:</t>
        </r>
        <r>
          <rPr>
            <sz val="9"/>
            <color indexed="81"/>
            <rFont val="Tahoma"/>
            <family val="2"/>
          </rPr>
          <t xml:space="preserve">
El crecimiento esperado en la situación actual es de incorporar 10 fincas adicionales cada año.</t>
        </r>
      </text>
    </comment>
    <comment ref="AV24" authorId="0" shapeId="0">
      <text>
        <r>
          <rPr>
            <b/>
            <sz val="9"/>
            <color indexed="81"/>
            <rFont val="Tahoma"/>
            <family val="2"/>
          </rPr>
          <t>Edwin Vega-Araya:</t>
        </r>
        <r>
          <rPr>
            <sz val="9"/>
            <color indexed="81"/>
            <rFont val="Tahoma"/>
            <family val="2"/>
          </rPr>
          <t xml:space="preserve">
Con REDD+ se podría llegar a 50 de incremento anual de fincas incorporadas al programa.  El primer año se supone casi la mitad de eso.
Según email del 28/11/2016 de Mauricio Chacón.</t>
        </r>
      </text>
    </comment>
    <comment ref="BK24" authorId="0" shapeId="0">
      <text>
        <r>
          <rPr>
            <b/>
            <sz val="9"/>
            <color indexed="81"/>
            <rFont val="Tahoma"/>
            <family val="2"/>
          </rPr>
          <t>Edwin Vega-Araya:</t>
        </r>
        <r>
          <rPr>
            <sz val="9"/>
            <color indexed="81"/>
            <rFont val="Tahoma"/>
            <family val="2"/>
          </rPr>
          <t xml:space="preserve">
Se estima el costo de incorporar una finca adicional al PPN como el tiempo horas técnico y profesional dedicados a visitas y asistencia técnica al finquero para el convencimiento y desarrollo de actividades. Un profesional y un técnico que hagan 6 visitas de campo de 1 hora cada visita.  Una visita cuesta 7,000 (hora del profesional) + 5,000 (hora del técnico) + 5,000 (combustible) + 4,000 (media de viáticos) = 21,000.  Por lo tanto 6 visitas cuestan = 126,000 colones.</t>
        </r>
      </text>
    </comment>
    <comment ref="AJ27" authorId="0" shapeId="0">
      <text>
        <r>
          <rPr>
            <b/>
            <sz val="9"/>
            <color indexed="81"/>
            <rFont val="Tahoma"/>
            <family val="2"/>
          </rPr>
          <t>Edwin Vega-Araya:</t>
        </r>
        <r>
          <rPr>
            <sz val="9"/>
            <color indexed="81"/>
            <rFont val="Tahoma"/>
            <family val="2"/>
          </rPr>
          <t xml:space="preserve">
El indicador de resultado es el mismo con y sin REDD+ pero la calidad (y costo) de la campaña cambia en una y otra situación.</t>
        </r>
      </text>
    </comment>
    <comment ref="BJ27" authorId="0" shapeId="0">
      <text>
        <r>
          <rPr>
            <b/>
            <sz val="9"/>
            <color indexed="81"/>
            <rFont val="Tahoma"/>
            <family val="2"/>
          </rPr>
          <t>Edwin Vega-Araya:</t>
        </r>
        <r>
          <rPr>
            <sz val="9"/>
            <color indexed="81"/>
            <rFont val="Tahoma"/>
            <family val="2"/>
          </rPr>
          <t xml:space="preserve">
Es un costo de campaña para las condiciones básicas.</t>
        </r>
      </text>
    </comment>
    <comment ref="C28"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O28"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AJ28" authorId="0" shapeId="0">
      <text>
        <r>
          <rPr>
            <b/>
            <sz val="9"/>
            <color indexed="81"/>
            <rFont val="Tahoma"/>
            <family val="2"/>
          </rPr>
          <t>Edwin Vega-Araya:</t>
        </r>
        <r>
          <rPr>
            <sz val="9"/>
            <color indexed="81"/>
            <rFont val="Tahoma"/>
            <family val="2"/>
          </rPr>
          <t xml:space="preserve">
Son todas las brigadas actuales.  De esas algunas les falta seguimiento.</t>
        </r>
      </text>
    </comment>
    <comment ref="BJ28" authorId="0" shapeId="0">
      <text>
        <r>
          <rPr>
            <b/>
            <sz val="9"/>
            <color indexed="81"/>
            <rFont val="Tahoma"/>
            <family val="2"/>
          </rPr>
          <t>Edwin Vega-Araya:</t>
        </r>
        <r>
          <rPr>
            <sz val="9"/>
            <color indexed="81"/>
            <rFont val="Tahoma"/>
            <family val="2"/>
          </rPr>
          <t xml:space="preserve">
Capacitación +- 150000 por persona
Seguimiento (una visita mensual) +- 15150 * 12 = 181.800
Equipamiento (a cada persona) 180.000 en el primer año del equipo completo + en los siguientes años hay que dar adicionales 68.000 cada tres años. 
Tenemos actualmente 300 bomberos forestales equipados bien.  Se quiere llegar a 1000 con el seguimiento.  Sin REDD solo se alcanzaría 700.</t>
        </r>
      </text>
    </comment>
    <comment ref="BK28" authorId="0" shapeId="0">
      <text>
        <r>
          <rPr>
            <b/>
            <sz val="9"/>
            <color indexed="81"/>
            <rFont val="Tahoma"/>
            <family val="2"/>
          </rPr>
          <t>Edwin Vega-Araya:</t>
        </r>
        <r>
          <rPr>
            <sz val="9"/>
            <color indexed="81"/>
            <rFont val="Tahoma"/>
            <family val="2"/>
          </rPr>
          <t xml:space="preserve">
Los 15.000.000 de capacitación es por capacitar 200 personas por año a un costo de 75.000 por persona.</t>
        </r>
      </text>
    </comment>
    <comment ref="BY28" authorId="0" shapeId="0">
      <text>
        <r>
          <rPr>
            <b/>
            <sz val="9"/>
            <color indexed="81"/>
            <rFont val="Tahoma"/>
            <family val="2"/>
          </rPr>
          <t>Edwin Vega-Araya:</t>
        </r>
        <r>
          <rPr>
            <sz val="9"/>
            <color indexed="81"/>
            <rFont val="Tahoma"/>
            <family val="2"/>
          </rPr>
          <t xml:space="preserve">
En este caso el seguimiento incluye además la capacitación de 500 personas por año a un costo de 75.000 por persona = 37.500.000 de capacitación.
</t>
        </r>
      </text>
    </comment>
    <comment ref="AH29" authorId="2" shapeId="0">
      <text>
        <r>
          <rPr>
            <b/>
            <sz val="9"/>
            <color indexed="81"/>
            <rFont val="Tahoma"/>
            <family val="2"/>
          </rPr>
          <t>Carlos Varela Jimenez:</t>
        </r>
        <r>
          <rPr>
            <sz val="9"/>
            <color indexed="81"/>
            <rFont val="Tahoma"/>
            <family val="2"/>
          </rPr>
          <t xml:space="preserve">
Los COVIRENA e inspectores ambientales ad honorem tendrán participación dentro y fuera de ASP, por tanto el Área de Infuencia será todo el territorio</t>
        </r>
      </text>
    </comment>
    <comment ref="C31"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O31"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C34"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O34"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BW34" authorId="2" shapeId="0">
      <text>
        <r>
          <rPr>
            <b/>
            <sz val="9"/>
            <color indexed="81"/>
            <rFont val="Tahoma"/>
            <family val="2"/>
          </rPr>
          <t>Carlos Varela Jimenez:</t>
        </r>
        <r>
          <rPr>
            <sz val="9"/>
            <color indexed="81"/>
            <rFont val="Tahoma"/>
            <family val="2"/>
          </rPr>
          <t xml:space="preserve">
Se financia con pagos de la regencia más otros recursos del CIAgro</t>
        </r>
      </text>
    </comment>
    <comment ref="A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C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O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AJ35" authorId="0" shapeId="0">
      <text>
        <r>
          <rPr>
            <b/>
            <sz val="9"/>
            <color indexed="81"/>
            <rFont val="Tahoma"/>
            <family val="2"/>
          </rPr>
          <t>Edwin Vega-Araya:</t>
        </r>
        <r>
          <rPr>
            <sz val="9"/>
            <color indexed="81"/>
            <rFont val="Tahoma"/>
            <family val="2"/>
          </rPr>
          <t xml:space="preserve">
Es el monto anual destinado por presupuesto ordinario.</t>
        </r>
      </text>
    </comment>
    <comment ref="AV35" authorId="0" shapeId="0">
      <text>
        <r>
          <rPr>
            <b/>
            <sz val="9"/>
            <color indexed="81"/>
            <rFont val="Tahoma"/>
            <family val="2"/>
          </rPr>
          <t>Edwin Vega-Araya:</t>
        </r>
        <r>
          <rPr>
            <sz val="9"/>
            <color indexed="81"/>
            <rFont val="Tahoma"/>
            <family val="2"/>
          </rPr>
          <t xml:space="preserve">
El sr. Castillo piensa que REDD+ podría incrementar el presupuesto en 1% al menos por año para apoyar esta actividad.  La misma está originalmente contenida en la Estrategia Nacional pero por razones económicas no se le destinarán recursos.</t>
        </r>
      </text>
    </comment>
    <comment ref="A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C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O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C40" authorId="0" shapeId="0">
      <text>
        <r>
          <rPr>
            <b/>
            <sz val="9"/>
            <color indexed="81"/>
            <rFont val="Tahoma"/>
            <family val="2"/>
          </rPr>
          <t>Edwin Vega-Araya:</t>
        </r>
        <r>
          <rPr>
            <sz val="9"/>
            <color indexed="81"/>
            <rFont val="Tahoma"/>
            <family val="2"/>
          </rPr>
          <t xml:space="preserve">
En PAAs de EV</t>
        </r>
      </text>
    </comment>
    <comment ref="O40" authorId="0" shapeId="0">
      <text>
        <r>
          <rPr>
            <b/>
            <sz val="9"/>
            <color indexed="81"/>
            <rFont val="Tahoma"/>
            <family val="2"/>
          </rPr>
          <t>Edwin Vega-Araya:</t>
        </r>
        <r>
          <rPr>
            <sz val="9"/>
            <color indexed="81"/>
            <rFont val="Tahoma"/>
            <family val="2"/>
          </rPr>
          <t xml:space="preserve">
En PAAs de EV</t>
        </r>
      </text>
    </comment>
    <comment ref="BK43" authorId="3" shapeId="0">
      <text>
        <r>
          <rPr>
            <b/>
            <sz val="9"/>
            <color indexed="81"/>
            <rFont val="Tahoma"/>
            <family val="2"/>
          </rPr>
          <t>José Joaquin Calvo Domingo:</t>
        </r>
        <r>
          <rPr>
            <sz val="9"/>
            <color indexed="81"/>
            <rFont val="Tahoma"/>
            <family val="2"/>
          </rPr>
          <t xml:space="preserve">
Este año se realizaron 6 planaes de manejo con financiamiento externo, mas  o menos se pueden hacer un promedio de 3 al año tambien con fondos externos, el costo de cada actualoizcion anda cerca de los 15,000 dolares.</t>
        </r>
      </text>
    </comment>
    <comment ref="AJ44" authorId="0" shapeId="0">
      <text>
        <r>
          <rPr>
            <b/>
            <sz val="9"/>
            <color indexed="81"/>
            <rFont val="Tahoma"/>
            <family val="2"/>
          </rPr>
          <t>Edwin Vega-Araya:</t>
        </r>
        <r>
          <rPr>
            <sz val="9"/>
            <color indexed="81"/>
            <rFont val="Tahoma"/>
            <family val="2"/>
          </rPr>
          <t xml:space="preserve">
En noviembre de 2016 se publicó N° 39952-MINAE de “ESTÁNDARES DE SOSTENIBILIDAD PARA MANEJO
DE BOSQUES SECUNDARIOS:  PRINCIPIOS, CRITERIOS E INDICADORES, CÓDIGO DE PRÁCTICAS Y MANUAL DE PROCEDIMIENTOS…"
</t>
        </r>
      </text>
    </comment>
    <comment ref="BK44"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BW44" authorId="0" shapeId="0">
      <text>
        <r>
          <rPr>
            <b/>
            <sz val="9"/>
            <color indexed="81"/>
            <rFont val="Tahoma"/>
            <family val="2"/>
          </rPr>
          <t>Edwin Vega-Araya:</t>
        </r>
        <r>
          <rPr>
            <sz val="9"/>
            <color indexed="81"/>
            <rFont val="Tahoma"/>
            <family val="2"/>
          </rPr>
          <t xml:space="preserve">
La academia y otros se autofinancian, pero no tienen capacidad de nuevas parcelas.</t>
        </r>
      </text>
    </comment>
    <comment ref="BY44"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BZ44" authorId="0" shapeId="0">
      <text>
        <r>
          <rPr>
            <b/>
            <sz val="9"/>
            <color indexed="81"/>
            <rFont val="Tahoma"/>
            <family val="2"/>
          </rPr>
          <t>Edwin Vega-Araya:</t>
        </r>
        <r>
          <rPr>
            <sz val="9"/>
            <color indexed="81"/>
            <rFont val="Tahoma"/>
            <family val="2"/>
          </rPr>
          <t xml:space="preserve">
5 parcelas en 2017 y 15 en 2018, luego las mediciones y ya para 2020 decreto</t>
        </r>
      </text>
    </comment>
    <comment ref="CA44" authorId="0" shapeId="0">
      <text>
        <r>
          <rPr>
            <b/>
            <sz val="9"/>
            <color indexed="81"/>
            <rFont val="Tahoma"/>
            <family val="2"/>
          </rPr>
          <t>Edwin Vega-Araya:</t>
        </r>
        <r>
          <rPr>
            <sz val="9"/>
            <color indexed="81"/>
            <rFont val="Tahoma"/>
            <family val="2"/>
          </rPr>
          <t xml:space="preserve">
El estudio de los datos y propuesta y validación de nuevos criterios se estima en equivalente a consultoría de $20,000</t>
        </r>
      </text>
    </comment>
    <comment ref="C45"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O45"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AJ45" authorId="0" shapeId="0">
      <text>
        <r>
          <rPr>
            <b/>
            <sz val="9"/>
            <color indexed="81"/>
            <rFont val="Tahoma"/>
            <family val="2"/>
          </rPr>
          <t>Edwin Vega-Araya:</t>
        </r>
        <r>
          <rPr>
            <sz val="9"/>
            <color indexed="81"/>
            <rFont val="Tahoma"/>
            <family val="2"/>
          </rPr>
          <t xml:space="preserve">
No ha salido el decreto.  Cuando salga se inicia el conteo del indicador.</t>
        </r>
      </text>
    </comment>
    <comment ref="AV45" authorId="0" shapeId="0">
      <text>
        <r>
          <rPr>
            <b/>
            <sz val="9"/>
            <color indexed="81"/>
            <rFont val="Tahoma"/>
            <family val="2"/>
          </rPr>
          <t>Edwin Vega-Araya:</t>
        </r>
        <r>
          <rPr>
            <sz val="9"/>
            <color indexed="81"/>
            <rFont val="Tahoma"/>
            <family val="2"/>
          </rPr>
          <t xml:space="preserve">
Se espera que con divulgación y publicidad del decreto se incrementen las solicitudes</t>
        </r>
      </text>
    </comment>
    <comment ref="BK45"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t>
        </r>
      </text>
    </comment>
    <comment ref="BY45"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
Además incluye $10,000 de publicidad del decreto durante 2 años solamente.</t>
        </r>
      </text>
    </comment>
    <comment ref="C47"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O47"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AJ47" authorId="0" shapeId="0">
      <text>
        <r>
          <rPr>
            <b/>
            <sz val="9"/>
            <color indexed="81"/>
            <rFont val="Tahoma"/>
            <family val="2"/>
          </rPr>
          <t>Edwin Vega-Araya:</t>
        </r>
        <r>
          <rPr>
            <sz val="9"/>
            <color indexed="81"/>
            <rFont val="Tahoma"/>
            <family val="2"/>
          </rPr>
          <t xml:space="preserve">
decreto Ejecutivo 39660-MINAE que ya no se tiene que renovar cada año, sino que cada 5 años, en este caso 2016 a 2021</t>
        </r>
      </text>
    </comment>
    <comment ref="AZ47" authorId="0" shapeId="0">
      <text>
        <r>
          <rPr>
            <b/>
            <sz val="9"/>
            <color indexed="81"/>
            <rFont val="Tahoma"/>
            <family val="2"/>
          </rPr>
          <t>Edwin Vega-Araya:</t>
        </r>
        <r>
          <rPr>
            <sz val="9"/>
            <color indexed="81"/>
            <rFont val="Tahoma"/>
            <family val="2"/>
          </rPr>
          <t xml:space="preserve">
Este decreto tendría una mejora cualitativa respecto a la situación "sin".</t>
        </r>
      </text>
    </comment>
    <comment ref="BK47" authorId="0" shapeId="0">
      <text>
        <r>
          <rPr>
            <b/>
            <sz val="9"/>
            <color indexed="81"/>
            <rFont val="Tahoma"/>
            <family val="2"/>
          </rPr>
          <t>Edwin Vega-Araya:</t>
        </r>
        <r>
          <rPr>
            <sz val="9"/>
            <color indexed="81"/>
            <rFont val="Tahoma"/>
            <family val="2"/>
          </rPr>
          <t xml:space="preserve">
Financiación de MACOBIO para incorporar los indicadores de Evaluación del PPSA al SINIA</t>
        </r>
      </text>
    </comment>
    <comment ref="CB47" authorId="0" shapeId="0">
      <text>
        <r>
          <rPr>
            <b/>
            <sz val="9"/>
            <color indexed="81"/>
            <rFont val="Tahoma"/>
            <family val="2"/>
          </rPr>
          <t>Edwin Vega-Araya:</t>
        </r>
        <r>
          <rPr>
            <sz val="9"/>
            <color indexed="81"/>
            <rFont val="Tahoma"/>
            <family val="2"/>
          </rPr>
          <t xml:space="preserve">
REDD+ puede financiar el estudio del estudio de los indicadores dentro de 5 años comparados con los de ahora y definir posibles cambios a los criterios.  REDD+ podría ayudar en analizar el ajuste del sistema para los indicadodres del PSA, de más menos $10.000.</t>
        </r>
      </text>
    </comment>
    <comment ref="AI49" authorId="4" shapeId="0">
      <text>
        <r>
          <rPr>
            <b/>
            <sz val="9"/>
            <color indexed="81"/>
            <rFont val="Tahoma"/>
            <family val="2"/>
          </rPr>
          <t>Magally Castro Alvarez:</t>
        </r>
        <r>
          <rPr>
            <sz val="9"/>
            <color indexed="81"/>
            <rFont val="Tahoma"/>
            <family val="2"/>
          </rPr>
          <t xml:space="preserve">
Existe un manual de capacitación de Organos Colegiados del SINAC, el cual se puede actualizar y capacitar a los consejos. 
Además se requiere de instrumentos para su fortalecimiento y seguimiento, así como su empoderamiento y l posicionamiento del tema forestal y otros para la toma de decisiciones que ellos realizan.</t>
        </r>
      </text>
    </comment>
    <comment ref="BJ49" authorId="4" shapeId="0">
      <text>
        <r>
          <rPr>
            <b/>
            <sz val="9"/>
            <color indexed="81"/>
            <rFont val="Tahoma"/>
            <family val="2"/>
          </rPr>
          <t>Magally Castro Alvarez:</t>
        </r>
        <r>
          <rPr>
            <sz val="9"/>
            <color indexed="81"/>
            <rFont val="Tahoma"/>
            <family val="2"/>
          </rPr>
          <t xml:space="preserve">
Este es un calculo de los que se hizo en el 2015 que fue el año que se realizo el manual de capacitación y se aplico a algunos OC.</t>
        </r>
      </text>
    </comment>
    <comment ref="BK49" authorId="4" shapeId="0">
      <text>
        <r>
          <rPr>
            <b/>
            <sz val="9"/>
            <color indexed="81"/>
            <rFont val="Tahoma"/>
            <family val="2"/>
          </rPr>
          <t>Magally Castro Alvarez:</t>
        </r>
        <r>
          <rPr>
            <sz val="9"/>
            <color indexed="81"/>
            <rFont val="Tahoma"/>
            <family val="2"/>
          </rPr>
          <t xml:space="preserve">
Esto inlcuye fondos SINAC y alguna contrapartida del proyecto MAPCOBIO  y de CB para fortalecer el tema.</t>
        </r>
      </text>
    </comment>
    <comment ref="BL49" authorId="4" shapeId="0">
      <text>
        <r>
          <rPr>
            <b/>
            <sz val="9"/>
            <color indexed="81"/>
            <rFont val="Tahoma"/>
            <family val="2"/>
          </rPr>
          <t>Magally Castro Alvarez:</t>
        </r>
        <r>
          <rPr>
            <sz val="9"/>
            <color indexed="81"/>
            <rFont val="Tahoma"/>
            <family val="2"/>
          </rPr>
          <t xml:space="preserve">
Fondos SINAC para acciones exporadicas de los consejos locales. Alimentacion para reunions mensuales, entre otros.  Para su funcionamiento pero no para su fortalecimiento.</t>
        </r>
      </text>
    </comment>
    <comment ref="BY49" authorId="4" shapeId="0">
      <text>
        <r>
          <rPr>
            <b/>
            <sz val="9"/>
            <color indexed="81"/>
            <rFont val="Tahoma"/>
            <family val="2"/>
          </rPr>
          <t>Magally Castro Alvarez:</t>
        </r>
        <r>
          <rPr>
            <sz val="9"/>
            <color indexed="81"/>
            <rFont val="Tahoma"/>
            <family val="2"/>
          </rPr>
          <t xml:space="preserve">
Alvarez:
Incluye:
Actualizar el manual 
Capacitar a un % de los OC </t>
        </r>
      </text>
    </comment>
    <comment ref="BZ49" authorId="4" shapeId="0">
      <text>
        <r>
          <rPr>
            <b/>
            <sz val="9"/>
            <color indexed="81"/>
            <rFont val="Tahoma"/>
            <family val="2"/>
          </rPr>
          <t>Magally Castro Alvarez:</t>
        </r>
        <r>
          <rPr>
            <sz val="9"/>
            <color indexed="81"/>
            <rFont val="Tahoma"/>
            <family val="2"/>
          </rPr>
          <t xml:space="preserve">
Incluye:
Capacitar a un % de los OC 
1 Encuentro de CORAC</t>
        </r>
      </text>
    </comment>
    <comment ref="CA49" authorId="4"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CB49" authorId="4"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C51"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O51"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BY51" authorId="0" shapeId="0">
      <text>
        <r>
          <rPr>
            <b/>
            <sz val="9"/>
            <color indexed="81"/>
            <rFont val="Tahoma"/>
            <family val="2"/>
          </rPr>
          <t>Edwin Vega-Araya:</t>
        </r>
        <r>
          <rPr>
            <sz val="9"/>
            <color indexed="81"/>
            <rFont val="Tahoma"/>
            <family val="2"/>
          </rPr>
          <t xml:space="preserve">
Costo por evento de capacitación 300,000 colones </t>
        </r>
      </text>
    </comment>
    <comment ref="AJ53" authorId="0" shapeId="0">
      <text>
        <r>
          <rPr>
            <b/>
            <sz val="9"/>
            <color indexed="81"/>
            <rFont val="Tahoma"/>
            <family val="2"/>
          </rPr>
          <t>Magally Castro:</t>
        </r>
        <r>
          <rPr>
            <sz val="9"/>
            <color indexed="81"/>
            <rFont val="Tahoma"/>
            <family val="2"/>
          </rPr>
          <t xml:space="preserve">
Edwin aquí seria bueno meter el dato de cuantos CB con PSA y REDD</t>
        </r>
      </text>
    </comment>
    <comment ref="BL53" authorId="0" shapeId="0">
      <text>
        <r>
          <rPr>
            <b/>
            <sz val="9"/>
            <color indexed="81"/>
            <rFont val="Tahoma"/>
            <family val="2"/>
          </rPr>
          <t>Edwin Vega-Araya:</t>
        </r>
        <r>
          <rPr>
            <sz val="9"/>
            <color indexed="81"/>
            <rFont val="Tahoma"/>
            <family val="2"/>
          </rPr>
          <t xml:space="preserve">
Se valoran acciones aisladas relacionadas y no articuladas en una estrategia.</t>
        </r>
      </text>
    </comment>
    <comment ref="BY53" authorId="4" shapeId="0">
      <text>
        <r>
          <rPr>
            <b/>
            <sz val="9"/>
            <color indexed="81"/>
            <rFont val="Tahoma"/>
            <family val="2"/>
          </rPr>
          <t>Magally Castro Alvarez:</t>
        </r>
        <r>
          <rPr>
            <sz val="9"/>
            <color indexed="81"/>
            <rFont val="Tahoma"/>
            <family val="2"/>
          </rPr>
          <t xml:space="preserve">
Incluye la contratación de una estategia de defina alternativas de como llegar a los actores privados en ASP desde los consejos locales de CB</t>
        </r>
      </text>
    </comment>
    <comment ref="BZ53" authorId="4" shapeId="0">
      <text>
        <r>
          <rPr>
            <b/>
            <sz val="9"/>
            <color indexed="81"/>
            <rFont val="Tahoma"/>
            <family val="2"/>
          </rPr>
          <t>Magally Castro Alvarez:</t>
        </r>
        <r>
          <rPr>
            <sz val="9"/>
            <color indexed="81"/>
            <rFont val="Tahoma"/>
            <family val="2"/>
          </rPr>
          <t xml:space="preserve">
Inclye capacitacion a todos los CL para ejecutar la estrategia 
5 CB sensibilizan a los actores privado en sobre PSA y REDD (materiales, charlas, capacitación)</t>
        </r>
      </text>
    </comment>
    <comment ref="CA53" authorId="4" shapeId="0">
      <text>
        <r>
          <rPr>
            <b/>
            <sz val="9"/>
            <color indexed="81"/>
            <rFont val="Tahoma"/>
            <family val="2"/>
          </rPr>
          <t>Magally Castro Alvarez:</t>
        </r>
        <r>
          <rPr>
            <sz val="9"/>
            <color indexed="81"/>
            <rFont val="Tahoma"/>
            <family val="2"/>
          </rPr>
          <t xml:space="preserve">
Incluye trabajos varios para promover acuerdos, sensiblización, charlas, materiales, videos y otros por medio de los cuales los CL de los CB promueven el PSA y REDD</t>
        </r>
      </text>
    </comment>
    <comment ref="C58"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G58" authorId="0" shapeId="0">
      <text>
        <r>
          <rPr>
            <b/>
            <sz val="9"/>
            <color indexed="81"/>
            <rFont val="Tahoma"/>
            <family val="2"/>
          </rPr>
          <t>Edwin Vega-Araya:</t>
        </r>
        <r>
          <rPr>
            <sz val="9"/>
            <color indexed="81"/>
            <rFont val="Tahoma"/>
            <family val="2"/>
          </rPr>
          <t xml:space="preserve">
SONIA, DOCUMENTO DE MARLEN, QUE LA SOCIEDAD SEPA QUE HAY ORDENAMIENTO TERRRITORIAL.  Ella hizo un mapa de zonificación.</t>
        </r>
      </text>
    </comment>
    <comment ref="O58"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Q58" authorId="0" shapeId="0">
      <text>
        <r>
          <rPr>
            <b/>
            <sz val="9"/>
            <color indexed="81"/>
            <rFont val="Tahoma"/>
            <family val="2"/>
          </rPr>
          <t>Edwin Vega-Araya:</t>
        </r>
        <r>
          <rPr>
            <sz val="9"/>
            <color indexed="81"/>
            <rFont val="Tahoma"/>
            <family val="2"/>
          </rPr>
          <t xml:space="preserve">
SONIA, DOCUMENTO DE MARLEN, QUE LA SOCIEDAD SEPA QUE HAY ORDENAMIENTO TERRRITORIAL.  Ella hizo un mapa de zonificación.</t>
        </r>
      </text>
    </comment>
    <comment ref="AJ58" authorId="0" shapeId="0">
      <text>
        <r>
          <rPr>
            <b/>
            <sz val="9"/>
            <color indexed="81"/>
            <rFont val="Tahoma"/>
            <family val="2"/>
          </rPr>
          <t>Edwin Vega-Araya:</t>
        </r>
        <r>
          <rPr>
            <sz val="9"/>
            <color indexed="81"/>
            <rFont val="Tahoma"/>
            <family val="2"/>
          </rPr>
          <t xml:space="preserve">
Es una media de los últimos 4 años, aunque los últimos dos ha bajado: 2014 3495
2015 2330
</t>
        </r>
      </text>
    </comment>
    <comment ref="BK58"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BY58"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C61"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O61"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AJ61" authorId="0" shapeId="0">
      <text>
        <r>
          <rPr>
            <b/>
            <sz val="9"/>
            <color indexed="81"/>
            <rFont val="Tahoma"/>
            <family val="2"/>
          </rPr>
          <t>Edwin Vega-Araya:</t>
        </r>
        <r>
          <rPr>
            <sz val="9"/>
            <color indexed="81"/>
            <rFont val="Tahoma"/>
            <family val="2"/>
          </rPr>
          <t xml:space="preserve">
En 2 años de proyecto (Ver Folleto Divulgativode CADETI)</t>
        </r>
      </text>
    </comment>
    <comment ref="AK61" authorId="0" shapeId="0">
      <text>
        <r>
          <rPr>
            <b/>
            <sz val="9"/>
            <color indexed="81"/>
            <rFont val="Tahoma"/>
            <family val="2"/>
          </rPr>
          <t>Edwin Vega-Araya:</t>
        </r>
        <r>
          <rPr>
            <sz val="9"/>
            <color indexed="81"/>
            <rFont val="Tahoma"/>
            <family val="2"/>
          </rPr>
          <t xml:space="preserve">
Como habrá más recursos se puede casi duplicar la atención por año</t>
        </r>
      </text>
    </comment>
    <comment ref="BK61" authorId="0" shapeId="0">
      <text>
        <r>
          <rPr>
            <b/>
            <sz val="9"/>
            <color indexed="81"/>
            <rFont val="Tahoma"/>
            <family val="2"/>
          </rPr>
          <t>Edwin Vega-Araya:</t>
        </r>
        <r>
          <rPr>
            <sz val="9"/>
            <color indexed="81"/>
            <rFont val="Tahoma"/>
            <family val="2"/>
          </rPr>
          <t xml:space="preserve">
MANO DE OBRA ESTATAL:
Actualmente SINAC tiene 2 profesionales tiempo completo en CADETI (1200000*2*13 = 31,200,000). 
+ en el MAG hay 2 profesionales tiempo completo (31,200,000) 
+ 3 del INTA de 1/4 de tiempo que dedican (1200000*3*13/4 = 11,700,000) 
+ 5 del MAG en el campo que hacen los planes de finca y los proyectos (1/2 tiempo del proyecto con sus viáticos correspondientes: 750,000*5*13/2 = 24,375,000)
TOTAL = 98,475,000 colones.
FONDOS DISPONIBLES PARA FINCAS: 
$2,600,000 - 30% del 2017 al 2019 
$650,000 - 30% del 2020 al 2025</t>
        </r>
      </text>
    </comment>
    <comment ref="BY61" authorId="0" shapeId="0">
      <text>
        <r>
          <rPr>
            <b/>
            <sz val="9"/>
            <color indexed="81"/>
            <rFont val="Tahoma"/>
            <family val="2"/>
          </rPr>
          <t>Edwin Vega-Araya:</t>
        </r>
        <r>
          <rPr>
            <sz val="9"/>
            <color indexed="81"/>
            <rFont val="Tahoma"/>
            <family val="2"/>
          </rPr>
          <t xml:space="preserve">
El personal más o menos sería el mismo para operar el proyecto.  La parte importante sería el dinero adicional para los años en que no se cuenta financiamiento.  Tal vez algo de reforzar extensión propiamente en SINAC pues se ha perdido.</t>
        </r>
      </text>
    </comment>
    <comment ref="CB61" authorId="0" shapeId="0">
      <text>
        <r>
          <rPr>
            <b/>
            <sz val="9"/>
            <color indexed="81"/>
            <rFont val="Tahoma"/>
            <family val="2"/>
          </rPr>
          <t>Edwin Vega-Araya:</t>
        </r>
        <r>
          <rPr>
            <sz val="9"/>
            <color indexed="81"/>
            <rFont val="Tahoma"/>
            <family val="2"/>
          </rPr>
          <t xml:space="preserve">
Se aportarían $2,000,000 durante 3 años.</t>
        </r>
      </text>
    </comment>
    <comment ref="CE61" authorId="0" shapeId="0">
      <text>
        <r>
          <rPr>
            <b/>
            <sz val="9"/>
            <color indexed="81"/>
            <rFont val="Tahoma"/>
            <family val="2"/>
          </rPr>
          <t>Edwin Vega-Araya:</t>
        </r>
        <r>
          <rPr>
            <sz val="9"/>
            <color indexed="81"/>
            <rFont val="Tahoma"/>
            <family val="2"/>
          </rPr>
          <t xml:space="preserve">
Se aportarían $2,000,000 durante 3 años.</t>
        </r>
      </text>
    </comment>
    <comment ref="AI62" authorId="0" shapeId="0">
      <text>
        <r>
          <rPr>
            <b/>
            <sz val="9"/>
            <color indexed="81"/>
            <rFont val="Tahoma"/>
            <family val="2"/>
          </rPr>
          <t>Edwin Vega-Araya:</t>
        </r>
        <r>
          <rPr>
            <sz val="9"/>
            <color indexed="81"/>
            <rFont val="Tahoma"/>
            <family val="2"/>
          </rPr>
          <t xml:space="preserve">
Solo se considera el acercamiento de REDD a las municipalidades como inicio del proceso para que el IFAM y las municipalidades desarrollen proyectos REDD+.</t>
        </r>
      </text>
    </comment>
    <comment ref="BY62" authorId="0" shapeId="0">
      <text>
        <r>
          <rPr>
            <b/>
            <sz val="9"/>
            <color indexed="81"/>
            <rFont val="Tahoma"/>
            <family val="2"/>
          </rPr>
          <t>Edwin Vega-Araya:</t>
        </r>
        <r>
          <rPr>
            <sz val="9"/>
            <color indexed="81"/>
            <rFont val="Tahoma"/>
            <family val="2"/>
          </rPr>
          <t xml:space="preserve">
Se estima desarrollar con fondos de la Preparación (plan de adquisiciones) dentro del contrato del Apoyo Social de la Secretaría. (1/4 del tiempo del consultor en ese año)</t>
        </r>
      </text>
    </comment>
    <comment ref="AI64" authorId="0" shapeId="0">
      <text>
        <r>
          <rPr>
            <b/>
            <sz val="9"/>
            <color indexed="81"/>
            <rFont val="Tahoma"/>
            <family val="2"/>
          </rPr>
          <t>Edwin Vega-Araya:</t>
        </r>
        <r>
          <rPr>
            <sz val="9"/>
            <color indexed="81"/>
            <rFont val="Tahoma"/>
            <family val="2"/>
          </rPr>
          <t xml:space="preserve">
A través de Corredores biológicos es que se daría el apoyo a esto.
Los corredores que se estarán trabajando con las municipalidades son:
1-Corredor ruta los Malecu (Guatuso, Upala y Los Chiles)
2. COBRISURAC (Cartago)
3.Corredor Garcimuñoz y Torres (San José)
</t>
        </r>
        <r>
          <rPr>
            <b/>
            <sz val="9"/>
            <color indexed="81"/>
            <rFont val="Tahoma"/>
            <family val="2"/>
          </rPr>
          <t>Magaly Castro:</t>
        </r>
        <r>
          <rPr>
            <sz val="9"/>
            <color indexed="81"/>
            <rFont val="Tahoma"/>
            <family val="2"/>
          </rPr>
          <t xml:space="preserve">
Hay 7 u 8 planes de gestión de corredores biológicos, y apenas se va a hacer el plan estratégico a nivel nacional de corredores biológicos donde se establecería meta.  La estrategia de Adapatación al CC dice de crear 12 corredores biológicos nuevos.  En las metas país Aichi dice de ampliar la conectividad en un 0.5% en conectividad que significa 3 corredores biológicos nuevos.</t>
        </r>
      </text>
    </comment>
    <comment ref="AJ64" authorId="0" shapeId="0">
      <text>
        <r>
          <rPr>
            <b/>
            <sz val="9"/>
            <color indexed="81"/>
            <rFont val="Tahoma"/>
            <family val="2"/>
          </rPr>
          <t>Edwin Vega-Araya:</t>
        </r>
        <r>
          <rPr>
            <sz val="9"/>
            <color indexed="81"/>
            <rFont val="Tahoma"/>
            <family val="2"/>
          </rPr>
          <t xml:space="preserve">
Se está en proceso de crear una línea base pues hasta ahora se creó el departamento.   A través de "Corredores Biológicos" se puede tener información de línea base, y en las Munic. De Guatuso, Upala y Los Chiles ya tiene algo incluído en los Planes reguladores para arborizar en ríos.</t>
        </r>
      </text>
    </comment>
    <comment ref="AM64" authorId="0" shapeId="0">
      <text>
        <r>
          <rPr>
            <b/>
            <sz val="9"/>
            <color indexed="81"/>
            <rFont val="Tahoma"/>
            <family val="2"/>
          </rPr>
          <t>Edwin Vega-Araya:</t>
        </r>
        <r>
          <rPr>
            <sz val="9"/>
            <color indexed="81"/>
            <rFont val="Tahoma"/>
            <family val="2"/>
          </rPr>
          <t xml:space="preserve">
Se espera que haya acciones aisladas de las municipalidades pero no un plan estructurado, esto debido a la menor aplicación de recursos.</t>
        </r>
      </text>
    </comment>
    <comment ref="BJ64" authorId="0" shapeId="0">
      <text>
        <r>
          <rPr>
            <b/>
            <sz val="9"/>
            <color indexed="81"/>
            <rFont val="Tahoma"/>
            <family val="2"/>
          </rPr>
          <t>Edwin Vega-Araya:</t>
        </r>
        <r>
          <rPr>
            <sz val="9"/>
            <color indexed="81"/>
            <rFont val="Tahoma"/>
            <family val="2"/>
          </rPr>
          <t xml:space="preserve">
Incluye Elaboración del Plan (un forestal) +- 5millones
Más capacitación y sensibilización del mismo (tallleres a Concejo Municipal, al Consejo del Corredor Biológico, y otras fuerzas vivas) +- 300.000 por taller y (15 personas x  40.000 por persona = 600.000.  Y son por 2 talleres y un intercambio por municipalidad).  total = 1.200.000
Materia prima (una parte donaciones, y otra compra en viveros locales y posiblemente fomentar la creación de alguno) +- 600.000 (se hace una analogía aproximada con la siembra de cercas en SAF)
Esto implica el costo por municipalidad atendida es de 6.800.000 </t>
        </r>
      </text>
    </comment>
    <comment ref="AJ67" authorId="0" shapeId="0">
      <text>
        <r>
          <rPr>
            <b/>
            <sz val="9"/>
            <color indexed="81"/>
            <rFont val="Tahoma"/>
            <family val="2"/>
          </rPr>
          <t>Edwin Vega-Araya:</t>
        </r>
        <r>
          <rPr>
            <sz val="9"/>
            <color indexed="81"/>
            <rFont val="Tahoma"/>
            <family val="2"/>
          </rPr>
          <t xml:space="preserve">
son 232 fincas y consiste las registradas con INDER que totalizan 4309 ha.
Es posible que falten unas 900 por transferir.</t>
        </r>
      </text>
    </comment>
    <comment ref="AV67" authorId="0" shapeId="0">
      <text>
        <r>
          <rPr>
            <b/>
            <sz val="9"/>
            <color indexed="81"/>
            <rFont val="Tahoma"/>
            <family val="2"/>
          </rPr>
          <t>Edwin Vega-Araya:</t>
        </r>
        <r>
          <rPr>
            <sz val="9"/>
            <color indexed="81"/>
            <rFont val="Tahoma"/>
            <family val="2"/>
          </rPr>
          <t xml:space="preserve">
La mejora es en la calidad de las tierras que son tranferidas y que tienen potencial REDD+</t>
        </r>
      </text>
    </comment>
    <comment ref="BY67" authorId="0" shapeId="0">
      <text>
        <r>
          <rPr>
            <b/>
            <sz val="9"/>
            <color indexed="81"/>
            <rFont val="Tahoma"/>
            <family val="2"/>
          </rPr>
          <t>Edwin Vega-Araya:</t>
        </r>
        <r>
          <rPr>
            <sz val="9"/>
            <color indexed="81"/>
            <rFont val="Tahoma"/>
            <family val="2"/>
          </rPr>
          <t xml:space="preserve">
se quiere pasar de 4 a 10 topógrafos en un lapso de 6 años (de 2018 a 2023) y se mantienen luego.   1.000.000 al mes más un 500.000 al mes de viáticos.
Anualmente = 1,000,000*13 + 500,000*12 = 19,000,000</t>
        </r>
      </text>
    </comment>
    <comment ref="C68"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O68"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AH68" authorId="0" shapeId="0">
      <text>
        <r>
          <rPr>
            <b/>
            <sz val="9"/>
            <color indexed="81"/>
            <rFont val="Tahoma"/>
            <family val="2"/>
          </rPr>
          <t>Edwin Vega-Araya:</t>
        </r>
        <r>
          <rPr>
            <sz val="9"/>
            <color indexed="81"/>
            <rFont val="Tahoma"/>
            <family val="2"/>
          </rPr>
          <t xml:space="preserve">
Es PNE</t>
        </r>
      </text>
    </comment>
    <comment ref="BJ68"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BK68"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BY68" authorId="0" shapeId="0">
      <text>
        <r>
          <rPr>
            <b/>
            <sz val="9"/>
            <color indexed="81"/>
            <rFont val="Tahoma"/>
            <family val="2"/>
          </rPr>
          <t>Edwin Vega-Araya:</t>
        </r>
        <r>
          <rPr>
            <sz val="9"/>
            <color indexed="81"/>
            <rFont val="Tahoma"/>
            <family val="2"/>
          </rPr>
          <t xml:space="preserve">
Podría ser que pronto se modifique la Ley y se aumenten los usos permitidos en PNE, lo que aumentaría el presupuesto en esto al doble.
El incremento en tiempo es que pase de 1/5 a 1/2 para hacer bien la función.</t>
        </r>
      </text>
    </comment>
    <comment ref="C69"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O69"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AJ69" authorId="0" shapeId="0">
      <text>
        <r>
          <rPr>
            <b/>
            <sz val="9"/>
            <color indexed="81"/>
            <rFont val="Tahoma"/>
            <family val="2"/>
          </rPr>
          <t>Edwin Vega-Araya:</t>
        </r>
        <r>
          <rPr>
            <sz val="9"/>
            <color indexed="81"/>
            <rFont val="Tahoma"/>
            <family val="2"/>
          </rPr>
          <t xml:space="preserve">
Ya se cuenta con el estudio desarrollado por WCMC-PNUMA en 2016</t>
        </r>
      </text>
    </comment>
    <comment ref="AV69" authorId="0" shapeId="0">
      <text>
        <r>
          <rPr>
            <b/>
            <sz val="9"/>
            <color indexed="81"/>
            <rFont val="Tahoma"/>
            <family val="2"/>
          </rPr>
          <t>Edwin Vega-Araya:</t>
        </r>
        <r>
          <rPr>
            <sz val="9"/>
            <color indexed="81"/>
            <rFont val="Tahoma"/>
            <family val="2"/>
          </rPr>
          <t xml:space="preserve">
considera los esfuerzos de validación. Un taller.</t>
        </r>
      </text>
    </comment>
    <comment ref="BY69" authorId="0" shapeId="0">
      <text>
        <r>
          <rPr>
            <b/>
            <sz val="9"/>
            <color indexed="81"/>
            <rFont val="Tahoma"/>
            <family val="2"/>
          </rPr>
          <t>Edwin Vega-Araya:</t>
        </r>
        <r>
          <rPr>
            <sz val="9"/>
            <color indexed="81"/>
            <rFont val="Tahoma"/>
            <family val="2"/>
          </rPr>
          <t xml:space="preserve">
Taller de validación de zonas prioritarias para REDD+</t>
        </r>
      </text>
    </comment>
    <comment ref="AI71" authorId="0" shapeId="0">
      <text>
        <r>
          <rPr>
            <b/>
            <sz val="9"/>
            <color indexed="81"/>
            <rFont val="Tahoma"/>
            <family val="2"/>
          </rPr>
          <t>Edwin Vega-Araya:</t>
        </r>
        <r>
          <rPr>
            <sz val="9"/>
            <color indexed="81"/>
            <rFont val="Tahoma"/>
            <family val="2"/>
          </rPr>
          <t xml:space="preserve">
Idealmente se debería hacer 1 por año para cada ASP, por lo menos en las más conflictivas.  SINAC ahora protege a 32 parques nacionales, 51 refugios de vida silvestre, 13 reservas forestales y 8 reservas biológicas = 104 ASPs.</t>
        </r>
      </text>
    </comment>
    <comment ref="AV71" authorId="0" shapeId="0">
      <text>
        <r>
          <rPr>
            <b/>
            <sz val="9"/>
            <color indexed="81"/>
            <rFont val="Tahoma"/>
            <family val="2"/>
          </rPr>
          <t>Edwin Vega-Araya:</t>
        </r>
        <r>
          <rPr>
            <sz val="9"/>
            <color indexed="81"/>
            <rFont val="Tahoma"/>
            <family val="2"/>
          </rPr>
          <t xml:space="preserve">
duplicar al menos lo sin redd</t>
        </r>
      </text>
    </comment>
    <comment ref="BJ71" authorId="0" shapeId="0">
      <text>
        <r>
          <rPr>
            <b/>
            <sz val="9"/>
            <color indexed="81"/>
            <rFont val="Tahoma"/>
            <family val="2"/>
          </rPr>
          <t>Edwin Vega-Araya:</t>
        </r>
        <r>
          <rPr>
            <sz val="9"/>
            <color indexed="81"/>
            <rFont val="Tahoma"/>
            <family val="2"/>
          </rPr>
          <t xml:space="preserve">
más o menos cada estudio vale 100,000</t>
        </r>
      </text>
    </comment>
    <comment ref="BY71" authorId="0" shapeId="0">
      <text>
        <r>
          <rPr>
            <b/>
            <sz val="9"/>
            <color indexed="81"/>
            <rFont val="Tahoma"/>
            <family val="2"/>
          </rPr>
          <t>Edwin Vega-Araya:</t>
        </r>
        <r>
          <rPr>
            <sz val="9"/>
            <color indexed="81"/>
            <rFont val="Tahoma"/>
            <family val="2"/>
          </rPr>
          <t xml:space="preserve">
Se busca más bien sistematizar tal que haya un proceso en que no salga tan caro cada estudio.  La regularización depende de muchas cosas resultado de los estudios.</t>
        </r>
      </text>
    </comment>
    <comment ref="CS71" authorId="0" shapeId="0">
      <text>
        <r>
          <rPr>
            <b/>
            <sz val="9"/>
            <color indexed="81"/>
            <rFont val="Tahoma"/>
            <family val="2"/>
          </rPr>
          <t>Edwin Vega-Araya:</t>
        </r>
        <r>
          <rPr>
            <sz val="9"/>
            <color indexed="81"/>
            <rFont val="Tahoma"/>
            <family val="2"/>
          </rPr>
          <t xml:space="preserve">
Se supone que 5/6 de los $90,000 se usan en ASP y 1/6 en otras zonas ABRE.</t>
        </r>
      </text>
    </comment>
    <comment ref="BY72" authorId="0" shapeId="0">
      <text>
        <r>
          <rPr>
            <b/>
            <sz val="9"/>
            <color indexed="81"/>
            <rFont val="Tahoma"/>
            <family val="2"/>
          </rPr>
          <t>Edwin Vega-Araya:</t>
        </r>
        <r>
          <rPr>
            <sz val="9"/>
            <color indexed="81"/>
            <rFont val="Tahoma"/>
            <family val="2"/>
          </rPr>
          <t xml:space="preserve">
Consiste en el apoyo a través del Plan de Adquisiciones del FCPF</t>
        </r>
      </text>
    </comment>
    <comment ref="A7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C7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O7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C75"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O75"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BY77" authorId="0" shapeId="0">
      <text>
        <r>
          <rPr>
            <b/>
            <sz val="9"/>
            <color indexed="81"/>
            <rFont val="Tahoma"/>
            <family val="2"/>
          </rPr>
          <t>Edwin Vega-Araya:</t>
        </r>
        <r>
          <rPr>
            <sz val="9"/>
            <color indexed="81"/>
            <rFont val="Tahoma"/>
            <family val="2"/>
          </rPr>
          <t xml:space="preserve">
Lobby político $1000/año</t>
        </r>
      </text>
    </comment>
    <comment ref="C79"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O79"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AI79" authorId="0" shapeId="0">
      <text>
        <r>
          <rPr>
            <b/>
            <sz val="9"/>
            <color indexed="81"/>
            <rFont val="Tahoma"/>
            <family val="2"/>
          </rPr>
          <t>Edwin Vega-Araya:</t>
        </r>
        <r>
          <rPr>
            <sz val="9"/>
            <color indexed="81"/>
            <rFont val="Tahoma"/>
            <family val="2"/>
          </rPr>
          <t xml:space="preserve">
Todo debe culminar con la publicación de un decreto que lo oficialice.  El diseño tiene 3 nodos principales: 1) Monitoreo (y arreglos institucionales) 2) Clasificación  3) Mapeo.  Todas las etapas deben cumplirse para decir que está operando.
Para REDD+ el Informe de Javier y Lucio ellos plantearon qué hay que hacer para que el SIMOCUTE cumpla esos tres nodos dentro de la parte de REDD+.  No es seguro que alcance lo que está en el Plan de Adquisiones para que se desarrolle el MRV de REDD+, y eso lo dice el estudio del diseño.
En la parte del INF en Rediseño y variables hay datos del costo de la medición de las parcelas. PREGUNTAR A MAURICIO CASTILLO el costo, y podría ser lo sin REDD.  Lo con REDD sería lo proyectado por el informe de Javier que hay que "adaptar" a lo presupuestado en Plan de Adquisiciones.  La MESA TÉCNICA de REDD del SIMOCUTE dirá lo que al final se hará.  La mesa técnica puede hacerse con 3 talleres coordinada por un consultor en el primer semestre 2017.  Xinia es la consultora y maneja la logística y costos.</t>
        </r>
      </text>
    </comment>
    <comment ref="AN79" authorId="0" shapeId="0">
      <text>
        <r>
          <rPr>
            <b/>
            <sz val="9"/>
            <color indexed="81"/>
            <rFont val="Tahoma"/>
            <family val="2"/>
          </rPr>
          <t>Edwin Vega-Araya:</t>
        </r>
        <r>
          <rPr>
            <sz val="9"/>
            <color indexed="81"/>
            <rFont val="Tahoma"/>
            <family val="2"/>
          </rPr>
          <t xml:space="preserve">
El Sistema existe pero no permite incorporar nuevas actividades REDD+.</t>
        </r>
      </text>
    </comment>
    <comment ref="BY79" authorId="0" shapeId="0">
      <text>
        <r>
          <rPr>
            <b/>
            <sz val="9"/>
            <color indexed="81"/>
            <rFont val="Tahoma"/>
            <family val="2"/>
          </rPr>
          <t>Edwin Vega-Araya:</t>
        </r>
        <r>
          <rPr>
            <sz val="9"/>
            <color indexed="81"/>
            <rFont val="Tahoma"/>
            <family val="2"/>
          </rPr>
          <t xml:space="preserve">
La parte de los Fondos de Preparación para REDD se debe ejecutar en tres años, aproximando las siguientes proporciones: 2017 30%, 2018: 50%, 2019 20%.</t>
        </r>
      </text>
    </comment>
    <comment ref="CS79" authorId="0" shapeId="0">
      <text>
        <r>
          <rPr>
            <b/>
            <sz val="9"/>
            <color indexed="81"/>
            <rFont val="Tahoma"/>
            <family val="2"/>
          </rPr>
          <t>Edwin Vega-Araya:</t>
        </r>
        <r>
          <rPr>
            <sz val="9"/>
            <color indexed="81"/>
            <rFont val="Tahoma"/>
            <family val="2"/>
          </rPr>
          <t xml:space="preserve">
La idea es usar eso para implementar el diseño que salga del apoyo de FAO</t>
        </r>
      </text>
    </comment>
    <comment ref="Q80" authorId="0" shapeId="0">
      <text>
        <r>
          <rPr>
            <b/>
            <sz val="9"/>
            <color indexed="81"/>
            <rFont val="Tahoma"/>
            <family val="2"/>
          </rPr>
          <t>Edwin Vega-Araya:</t>
        </r>
        <r>
          <rPr>
            <sz val="9"/>
            <color indexed="81"/>
            <rFont val="Tahoma"/>
            <family val="2"/>
          </rPr>
          <t xml:space="preserve">
No se ha consultado con ella todavía, solo hay la propuesta de que sea IMN quien lidere Fase A, pero puede ser la misma coordinación de la Secretaría.</t>
        </r>
      </text>
    </comment>
    <comment ref="CS80" authorId="0" shapeId="0">
      <text>
        <r>
          <rPr>
            <b/>
            <sz val="9"/>
            <color indexed="81"/>
            <rFont val="Tahoma"/>
            <family val="2"/>
          </rPr>
          <t>Edwin Vega-Araya:</t>
        </r>
        <r>
          <rPr>
            <sz val="9"/>
            <color indexed="81"/>
            <rFont val="Tahoma"/>
            <family val="2"/>
          </rPr>
          <t xml:space="preserve">
Incluye el coordinador de MRV de la secretaría y el desarrollo del SM para Plantaciones forestales y SAF.  Entonces contempla fases A y C de la propuesta.</t>
        </r>
      </text>
    </comment>
    <comment ref="AI81" authorId="0" shapeId="0">
      <text>
        <r>
          <rPr>
            <b/>
            <sz val="9"/>
            <color indexed="81"/>
            <rFont val="Tahoma"/>
            <family val="2"/>
          </rPr>
          <t>Edwin Vega-Araya:</t>
        </r>
        <r>
          <rPr>
            <sz val="9"/>
            <color indexed="81"/>
            <rFont val="Tahoma"/>
            <family val="2"/>
          </rPr>
          <t xml:space="preserve">
El enfoque es monitoreo, pj actualmente con el proyecto MAPCOBIO con un componente de monitoreo participativo con cámaras trampa y se podría ampliar a indígenas.  La interpretación de datos implica pensar en la contratación de especialista puntual en algunos puntos en el tiempo.
Además otros componentes sería 1. la sistematización de lo que se ha hecho SINAC-INDÍGENAS y 2. la elaboración de planes de gestión comunitarios del manejo del bosque.</t>
        </r>
      </text>
    </comment>
    <comment ref="AJ81" authorId="0" shapeId="0">
      <text>
        <r>
          <rPr>
            <b/>
            <sz val="9"/>
            <color indexed="81"/>
            <rFont val="Tahoma"/>
            <family val="2"/>
          </rPr>
          <t>Edwin Vega-Araya:</t>
        </r>
        <r>
          <rPr>
            <sz val="9"/>
            <color indexed="81"/>
            <rFont val="Tahoma"/>
            <family val="2"/>
          </rPr>
          <t xml:space="preserve">
Meta para 2017 es apenas diagnosticar qué ha hecho SINAC en el tema indígena.
Hay un proyecto del tema indígena con CONAGEBIO donde se definen las prioridades de la Est. De Biodiversidad en la parte de sistematización y gobernanza y elaboración de 2 planes de gestión.
</t>
        </r>
      </text>
    </comment>
    <comment ref="AK81" authorId="0" shapeId="0">
      <text>
        <r>
          <rPr>
            <b/>
            <sz val="9"/>
            <color indexed="81"/>
            <rFont val="Tahoma"/>
            <family val="2"/>
          </rPr>
          <t>Edwin Vega-Araya:</t>
        </r>
        <r>
          <rPr>
            <sz val="9"/>
            <color indexed="81"/>
            <rFont val="Tahoma"/>
            <family val="2"/>
          </rPr>
          <t xml:space="preserve">
No se alcanza a desarrollar el modelo en el año en la situación actual, se estima avance de 25%.</t>
        </r>
      </text>
    </comment>
    <comment ref="AV81" authorId="4" shapeId="0">
      <text>
        <r>
          <rPr>
            <b/>
            <sz val="9"/>
            <color indexed="81"/>
            <rFont val="Tahoma"/>
            <family val="2"/>
          </rPr>
          <t>Magally Castro Alvarez:</t>
        </r>
        <r>
          <rPr>
            <sz val="9"/>
            <color indexed="81"/>
            <rFont val="Tahoma"/>
            <family val="2"/>
          </rPr>
          <t xml:space="preserve">
Se espera en este año capacitar al personal del SINAC, FONAFIFO Y CONAGEBIO en sistematización de experiencias, y crear capacidades para trabajo en territorios indigenas.  Asi como elaboración de dignóstico y sistematización de acciones desarrolladas por las instituciones mencionadas y los usos tradicionales de la biodiversidad y bosques que desarrollan los indigenas.
</t>
        </r>
        <r>
          <rPr>
            <b/>
            <sz val="9"/>
            <color indexed="81"/>
            <rFont val="Tahoma"/>
            <family val="2"/>
          </rPr>
          <t xml:space="preserve">Edwin Vega-Araya:
</t>
        </r>
        <r>
          <rPr>
            <sz val="9"/>
            <color indexed="81"/>
            <rFont val="Tahoma"/>
            <family val="2"/>
          </rPr>
          <t>La mejora es principalmente cualititativa entre un sistema de monitoreo sin REDD+ y otro con REDD+.</t>
        </r>
      </text>
    </comment>
    <comment ref="BJ81" authorId="4" shapeId="0">
      <text>
        <r>
          <rPr>
            <b/>
            <sz val="9"/>
            <color indexed="81"/>
            <rFont val="Tahoma"/>
            <family val="2"/>
          </rPr>
          <t>Magally Castro Alvarez:</t>
        </r>
        <r>
          <rPr>
            <sz val="9"/>
            <color indexed="81"/>
            <rFont val="Tahoma"/>
            <family val="2"/>
          </rPr>
          <t xml:space="preserve">
Implica salario de 4 compañeros que han trabajado en el año con temas indigenas y contrapartida del proyecto MAPCOBIO por sistematización de un proyecto en un territorio indigena </t>
        </r>
      </text>
    </comment>
    <comment ref="BK81" authorId="4" shapeId="0">
      <text>
        <r>
          <rPr>
            <b/>
            <sz val="9"/>
            <color indexed="81"/>
            <rFont val="Tahoma"/>
            <family val="2"/>
          </rPr>
          <t>Magally Castro Alvarez:</t>
        </r>
        <r>
          <rPr>
            <sz val="9"/>
            <color indexed="81"/>
            <rFont val="Tahoma"/>
            <family val="2"/>
          </rPr>
          <t xml:space="preserve">
En cada año se está incluyendo salarios y combustible de 4 funcionarios en 4 AC.  Que incluye acciones aisladas de gestión en territorios indigenas hacia la conservación y uso sostenible de la biodiversidad  (en muy pequeña escala)</t>
        </r>
      </text>
    </comment>
    <comment ref="BL81" authorId="4" shapeId="0">
      <text>
        <r>
          <rPr>
            <b/>
            <sz val="9"/>
            <color indexed="81"/>
            <rFont val="Tahoma"/>
            <family val="2"/>
          </rPr>
          <t>Magally Castro Alvarez:</t>
        </r>
        <r>
          <rPr>
            <sz val="9"/>
            <color indexed="81"/>
            <rFont val="Tahoma"/>
            <family val="2"/>
          </rPr>
          <t xml:space="preserve">
Incluye lo expuesto en el punto anterior (año 2017).  Más fondos para dos talleres con el objetivo de sistematizar lo que SINAC ha realizado en dos territorios indigenas.  Implica un proceso interno 
</t>
        </r>
      </text>
    </comment>
    <comment ref="BY81" authorId="4" shapeId="0">
      <text>
        <r>
          <rPr>
            <b/>
            <sz val="9"/>
            <color indexed="81"/>
            <rFont val="Tahoma"/>
            <family val="2"/>
          </rPr>
          <t>Magally Castro Alvarez:</t>
        </r>
        <r>
          <rPr>
            <sz val="9"/>
            <color indexed="81"/>
            <rFont val="Tahoma"/>
            <family val="2"/>
          </rPr>
          <t xml:space="preserve">
Incluye:
- 15.000.000 para capacitación del personal del SINAC, CONAGEBIO Y FONAFIFO para sistematizar experiencias en TI.  Además capacitar en herramientas para trabajo con territorios indigenas tales como (comunicación asertiva, resolución de conflictos, cultura y tradiciones indígenas, legislación entre otros).  Incluye elaboración e impresión de manual de capacitación. 
- 5.500.000 para sistematizar lo que ha hecho o dirigido el SINAC, FONAFICO Y CONAGEBIO en 8 territorios indigenas en los ultimos cinco años. (inlcuye el diagnóstico, talleres e impresión de documento final.
- 13.700.0000 para diagnóstico y sistematización de 8 territorios indigenas el uso tradicional  de la biodiversidad y del bosque (inlcuye impresión de documento final)</t>
        </r>
      </text>
    </comment>
    <comment ref="BZ81" authorId="4"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4.700.000 para un modulo de capacitación a TI sobre (biodiversidad, cambios climático, GIRH, bosques, legislacion ambiental)
- 4.400.000 para conformar dos grupos de COVIRENAS y monitoreo
 participativo 
- 13.750.000 para definir y establecer un sistema de monitoreo participativo con camara trampa para 4 territorios indigenas 
- 8.625.000 para comprar camaras y demas equipo para el monitoreo para dos TI 
- 
</t>
        </r>
      </text>
    </comment>
    <comment ref="CA81" authorId="4"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 analisis de datos y capacitar al SINAC para continuarlos </t>
        </r>
      </text>
    </comment>
    <comment ref="CB81" authorId="4"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- 11.0000.000 Analisis de datos y capacitar al 
personal del SINAC para continuarlos 
-22.000.000 presentar en la COP DE BIODIVERSIDAD el trabajo de CR con territorios infigenas</t>
        </r>
      </text>
    </comment>
    <comment ref="CD81" authorId="4" shapeId="0">
      <text>
        <r>
          <rPr>
            <b/>
            <sz val="9"/>
            <color indexed="81"/>
            <rFont val="Tahoma"/>
            <family val="2"/>
          </rPr>
          <t>Magally Castro Alvarez:</t>
        </r>
        <r>
          <rPr>
            <sz val="9"/>
            <color indexed="81"/>
            <rFont val="Tahoma"/>
            <family val="2"/>
          </rPr>
          <t xml:space="preserve">
Incluye: 
- 5.000.000 para elaborar un plan de manejo comunitario de usos tradicionales de la biodiversidad y bosques en un territorio indigena (modelo de gobernanza)
- 2.000.000 para conformar dos grupos de COVIRENAS y monitoreo
 participativo  
- 4.400.000 para comprar camaras y demas equipo para el monitoreo para dos TI. y 
</t>
        </r>
      </text>
    </comment>
    <comment ref="AI83" authorId="0" shapeId="0">
      <text>
        <r>
          <rPr>
            <b/>
            <sz val="9"/>
            <color indexed="81"/>
            <rFont val="Tahoma"/>
            <family val="2"/>
          </rPr>
          <t>Edwin Vega-Araya:</t>
        </r>
        <r>
          <rPr>
            <sz val="9"/>
            <color indexed="81"/>
            <rFont val="Tahoma"/>
            <family val="2"/>
          </rPr>
          <t xml:space="preserve">
OJO ESTÁ INCLUIDA ABAJO</t>
        </r>
      </text>
    </comment>
    <comment ref="BY83" authorId="0" shapeId="0">
      <text>
        <r>
          <rPr>
            <b/>
            <sz val="9"/>
            <color indexed="81"/>
            <rFont val="Tahoma"/>
            <family val="2"/>
          </rPr>
          <t>Edwin Vega-Araya:</t>
        </r>
        <r>
          <rPr>
            <sz val="9"/>
            <color indexed="81"/>
            <rFont val="Tahoma"/>
            <family val="2"/>
          </rPr>
          <t xml:space="preserve">
1/8 tiempo profesional en Ciencias sociales para MIRI a $4000/mes</t>
        </r>
      </text>
    </comment>
    <comment ref="AI84" authorId="0" shapeId="0">
      <text>
        <r>
          <rPr>
            <sz val="9"/>
            <color indexed="81"/>
            <rFont val="Tahoma"/>
            <family val="2"/>
          </rPr>
          <t>Ya se cuenta con la propuesta de SIS, se ocupa definir los indicadores finales a monitorear identificando si los mismos ya son generados por alguna institución, sino en caso contrario costo de generarlo e identificación del responsable.</t>
        </r>
      </text>
    </comment>
    <comment ref="BY84" authorId="0" shapeId="0">
      <text>
        <r>
          <rPr>
            <b/>
            <sz val="9"/>
            <color indexed="81"/>
            <rFont val="Tahoma"/>
            <family val="2"/>
          </rPr>
          <t>Edwin Vega-Araya:</t>
        </r>
        <r>
          <rPr>
            <sz val="9"/>
            <color indexed="81"/>
            <rFont val="Tahoma"/>
            <family val="2"/>
          </rPr>
          <t xml:space="preserve">
Por ahora se estima que ya los indicadores se generan en las instituciones por lo que se gastará 1/8 tiempo profesional en seguimiento e informes.</t>
        </r>
      </text>
    </comment>
    <comment ref="C88"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 ref="O88"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 ref="P88" authorId="4" shapeId="0">
      <text>
        <r>
          <rPr>
            <b/>
            <sz val="9"/>
            <color indexed="81"/>
            <rFont val="Tahoma"/>
            <family val="2"/>
          </rPr>
          <t>Magally Castro Alvarez:</t>
        </r>
        <r>
          <rPr>
            <sz val="9"/>
            <color indexed="81"/>
            <rFont val="Tahoma"/>
            <family val="2"/>
          </rPr>
          <t xml:space="preserve">
Se busca el empoderamiento de los consejos locales forestales y que sea ellos los que dirijan el tema, en compañía de los encargados de dichos consejos y de los encargados de educación ambiental</t>
        </r>
      </text>
    </comment>
    <comment ref="AI88" authorId="0" shapeId="0">
      <text>
        <r>
          <rPr>
            <b/>
            <sz val="9"/>
            <color indexed="81"/>
            <rFont val="Tahoma"/>
            <family val="2"/>
          </rPr>
          <t>Edwin Vega-Araya:</t>
        </r>
        <r>
          <rPr>
            <sz val="9"/>
            <color indexed="81"/>
            <rFont val="Tahoma"/>
            <family val="2"/>
          </rPr>
          <t xml:space="preserve">
Elaborados 7 planes de educación-comunicación en el Servicio Ecosistémico Bosque y ejecutado en un 100% al 2025</t>
        </r>
      </text>
    </comment>
    <comment ref="AJ88" authorId="4" shapeId="0">
      <text>
        <r>
          <rPr>
            <b/>
            <sz val="9"/>
            <color indexed="81"/>
            <rFont val="Tahoma"/>
            <family val="2"/>
          </rPr>
          <t>Magally Castro Alvarez:</t>
        </r>
        <r>
          <rPr>
            <sz val="9"/>
            <color indexed="81"/>
            <rFont val="Tahoma"/>
            <family val="2"/>
          </rPr>
          <t xml:space="preserve">
Si bien la estrategia de EA del SINAC está vencida desde hace mas de cinco años, y no cuenta con un capitulo de bosques, en las 11 AC se llevan a cabo gran cantidad de acciones de EA cada año, de estas acciones un porcentaje son dirigidas a la conservación los bosques- Este 65% toma en cuenta los salarios del persona, combustible y viaticos del SINAC y algunos apoyos externos que los enlaces año con año consiguen para desarrollar acciones 
  Esto es visto desde el punto de vista economico pero en acciones en el tema especificamente las acciones son pocas sobre todo desde el eje de comunicación 
Pero se cuenta con una Fortaleza, personal en cada una de las AC, consejos locales, entre otros 
</t>
        </r>
      </text>
    </comment>
    <comment ref="AK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L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M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N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O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P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Q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R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S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BY88" authorId="4" shapeId="0">
      <text>
        <r>
          <rPr>
            <b/>
            <sz val="9"/>
            <color indexed="81"/>
            <rFont val="Tahoma"/>
            <family val="2"/>
          </rPr>
          <t>Magally Castro Alvarez:</t>
        </r>
        <r>
          <rPr>
            <sz val="9"/>
            <color indexed="81"/>
            <rFont val="Tahoma"/>
            <family val="2"/>
          </rPr>
          <t xml:space="preserve">
Incluye: 
3 millones para incluir el tema en la estrategia nacional del EA
12 millones para hacer 3 planes de educación-comunicación para 2 AC con mayor influencia en el tema. 
7 millones para capacitación de comunicación para la conservación a personal y consejos locales forestales 
3 millones (1 por CL) para fortalecer 3 consejos locales forestales existentes en el sistema.</t>
        </r>
      </text>
    </comment>
    <comment ref="BZ88" authorId="4" shapeId="0">
      <text>
        <r>
          <rPr>
            <b/>
            <sz val="9"/>
            <color indexed="81"/>
            <rFont val="Tahoma"/>
            <family val="2"/>
          </rPr>
          <t>Magally Castro Alvarez:</t>
        </r>
        <r>
          <rPr>
            <sz val="9"/>
            <color indexed="81"/>
            <rFont val="Tahoma"/>
            <family val="2"/>
          </rPr>
          <t xml:space="preserve">
Incluye: 
8 millones para hacer 2 planes de accion de educación - comunicaci-on. 
3 millones para conformar tres consejos locales forestales de AC  
7 millones para una capacitacion de educación-comunicacion a personal del SINAC y miembros de consejos locales. 
3.5 millones para ejecución de acciones de comunicación 
10 millones para 1 proyecto de reforetación o restauración desde los consejos locales. 
</t>
        </r>
      </text>
    </comment>
    <comment ref="CA88" authorId="4" shapeId="0">
      <text>
        <r>
          <rPr>
            <b/>
            <sz val="9"/>
            <color indexed="81"/>
            <rFont val="Tahoma"/>
            <family val="2"/>
          </rPr>
          <t>Magally Castro Alvarez:</t>
        </r>
        <r>
          <rPr>
            <sz val="9"/>
            <color indexed="81"/>
            <rFont val="Tahoma"/>
            <family val="2"/>
          </rPr>
          <t xml:space="preserve">
Incluye: 
8 millones para hacer el plan de accion de educación comunicacioón en 2 AC,
7 millones para desarrollar acciones de educación - comunicación. 
10 millones para insentivar proyectos de reforestación  o restauración desde los consejos locales forestales. 
2 millones para acciones conjuntas con el MEP para incluir el tema en el curriculum. 
6 millones para un sistema de monitoreo de impacto de las acciones 
</t>
        </r>
      </text>
    </comment>
    <comment ref="CB88" authorId="4"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CC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D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E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F88" authorId="4"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CG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AZ89" authorId="0" shapeId="0">
      <text>
        <r>
          <rPr>
            <b/>
            <sz val="9"/>
            <color indexed="81"/>
            <rFont val="Tahoma"/>
            <family val="2"/>
          </rPr>
          <t>Edwin Vega-Araya:</t>
        </r>
        <r>
          <rPr>
            <sz val="9"/>
            <color indexed="81"/>
            <rFont val="Tahoma"/>
            <family val="2"/>
          </rPr>
          <t xml:space="preserve">
Se publica el nuevo PNDF</t>
        </r>
      </text>
    </comment>
    <comment ref="BY89" authorId="0" shapeId="0">
      <text>
        <r>
          <rPr>
            <b/>
            <sz val="9"/>
            <color indexed="81"/>
            <rFont val="Tahoma"/>
            <family val="2"/>
          </rPr>
          <t>Edwin Vega-Araya:</t>
        </r>
        <r>
          <rPr>
            <sz val="9"/>
            <color indexed="81"/>
            <rFont val="Tahoma"/>
            <family val="2"/>
          </rPr>
          <t xml:space="preserve">
Ejecución en 3 años de $80,000 del Plan de Adquisiciones de apoyo a esta actividad</t>
        </r>
      </text>
    </comment>
    <comment ref="BY90" authorId="0" shapeId="0">
      <text>
        <r>
          <rPr>
            <b/>
            <sz val="9"/>
            <color indexed="81"/>
            <rFont val="Tahoma"/>
            <family val="2"/>
          </rPr>
          <t>Edwin Vega-Araya:</t>
        </r>
        <r>
          <rPr>
            <sz val="9"/>
            <color indexed="81"/>
            <rFont val="Tahoma"/>
            <family val="2"/>
          </rPr>
          <t xml:space="preserve">
Se estima que las actividades impliquen un gasto anual de $10.000</t>
        </r>
      </text>
    </comment>
    <comment ref="BY92" authorId="0" shapeId="0">
      <text>
        <r>
          <rPr>
            <b/>
            <sz val="9"/>
            <color indexed="81"/>
            <rFont val="Tahoma"/>
            <family val="2"/>
          </rPr>
          <t>Edwin Vega-Araya:</t>
        </r>
        <r>
          <rPr>
            <sz val="9"/>
            <color indexed="81"/>
            <rFont val="Tahoma"/>
            <family val="2"/>
          </rPr>
          <t xml:space="preserve">
No se estima costo pues se requiere una directriz del Ministro, más que en lobby político $1000/año</t>
        </r>
      </text>
    </comment>
    <comment ref="BY93" authorId="0" shapeId="0">
      <text>
        <r>
          <rPr>
            <b/>
            <sz val="9"/>
            <color indexed="81"/>
            <rFont val="Tahoma"/>
            <family val="2"/>
          </rPr>
          <t>Edwin Vega-Araya:</t>
        </r>
        <r>
          <rPr>
            <sz val="9"/>
            <color indexed="81"/>
            <rFont val="Tahoma"/>
            <family val="2"/>
          </rPr>
          <t xml:space="preserve">
4 profesionales 1b de 700.000/mes aproximadamente </t>
        </r>
      </text>
    </comment>
    <comment ref="BY94" authorId="0" shapeId="0">
      <text>
        <r>
          <rPr>
            <b/>
            <sz val="9"/>
            <color indexed="81"/>
            <rFont val="Tahoma"/>
            <family val="2"/>
          </rPr>
          <t>Edwin Vega-Araya:</t>
        </r>
        <r>
          <rPr>
            <sz val="9"/>
            <color indexed="81"/>
            <rFont val="Tahoma"/>
            <family val="2"/>
          </rPr>
          <t xml:space="preserve">
 1/2 tiempo para MGAS, a $4000/mes = $24.000</t>
        </r>
      </text>
    </comment>
    <comment ref="AI96" authorId="0" shapeId="0">
      <text>
        <r>
          <rPr>
            <b/>
            <sz val="9"/>
            <color indexed="81"/>
            <rFont val="Tahoma"/>
            <family val="2"/>
          </rPr>
          <t>Edwin Vega-Araya:</t>
        </r>
        <r>
          <rPr>
            <sz val="9"/>
            <color indexed="81"/>
            <rFont val="Tahoma"/>
            <family val="2"/>
          </rPr>
          <t xml:space="preserve">
El diseño ocurrió en 2016 con recursos de UN-REDD.  Lo que aquí se contempla es el costo de la implementación de algunas de las observaciones.</t>
        </r>
      </text>
    </comment>
    <comment ref="BY96" authorId="0" shapeId="0">
      <text>
        <r>
          <rPr>
            <b/>
            <sz val="9"/>
            <color indexed="81"/>
            <rFont val="Tahoma"/>
            <family val="2"/>
          </rPr>
          <t>Edwin Vega-Araya:</t>
        </r>
        <r>
          <rPr>
            <sz val="9"/>
            <color indexed="81"/>
            <rFont val="Tahoma"/>
            <family val="2"/>
          </rPr>
          <t xml:space="preserve">
Contempla viajes al exterior $20.000 entre viáticos y transporte + publicidad unos $10.000 + mesa negocios + contrato para desarrollar proyecto (20.000) = $55.000.  Se haría cada 2 años:en 2017, 2019 y 2021.  Estos últimos 2 años sería 15.000 (viajes) + 10.000 (publicidad) + 20.000 (contrato diseño proyectos)</t>
        </r>
      </text>
    </comment>
    <comment ref="BY98"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CH98"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C100" authorId="0" shapeId="0">
      <text>
        <r>
          <rPr>
            <b/>
            <sz val="9"/>
            <color indexed="81"/>
            <rFont val="Tahoma"/>
            <family val="2"/>
          </rPr>
          <t>Edwin Vega-Araya:</t>
        </r>
        <r>
          <rPr>
            <sz val="9"/>
            <color indexed="81"/>
            <rFont val="Tahoma"/>
            <family val="2"/>
          </rPr>
          <t xml:space="preserve">
Además no se incluyen algunas acciones del Plan de Adquisiciones de la segunda donación, </t>
        </r>
      </text>
    </comment>
    <comment ref="C101" authorId="0" shapeId="0">
      <text>
        <r>
          <rPr>
            <b/>
            <sz val="9"/>
            <color indexed="81"/>
            <rFont val="Tahoma"/>
            <family val="2"/>
          </rPr>
          <t>Edwin Vega-Araya:</t>
        </r>
        <r>
          <rPr>
            <sz val="9"/>
            <color indexed="81"/>
            <rFont val="Tahoma"/>
            <family val="2"/>
          </rPr>
          <t xml:space="preserve">
Es más bien el posible instrumento para operacionalizar el MDB</t>
        </r>
      </text>
    </comment>
    <comment ref="C102" authorId="0" shapeId="0">
      <text>
        <r>
          <rPr>
            <b/>
            <sz val="9"/>
            <color indexed="81"/>
            <rFont val="Tahoma"/>
            <family val="2"/>
          </rPr>
          <t>Edwin Vega-Araya:</t>
        </r>
        <r>
          <rPr>
            <sz val="9"/>
            <color indexed="81"/>
            <rFont val="Tahoma"/>
            <family val="2"/>
          </rPr>
          <t xml:space="preserve">
Ya está en otras acciones y que desembocan en decreto.  Estos instrumentos (PNDFy ENB) ya los tienen.</t>
        </r>
      </text>
    </comment>
    <comment ref="B115" authorId="0" shapeId="0">
      <text>
        <r>
          <rPr>
            <b/>
            <sz val="9"/>
            <color indexed="81"/>
            <rFont val="Tahoma"/>
            <family val="2"/>
          </rPr>
          <t>Edwin Vega-Araya:</t>
        </r>
        <r>
          <rPr>
            <sz val="9"/>
            <color indexed="81"/>
            <rFont val="Tahoma"/>
            <family val="2"/>
          </rPr>
          <t xml:space="preserve">
Mencionado dentro de los factores directos, para efectos de política su tendencia motivó una recomendación importante. </t>
        </r>
      </text>
    </comment>
    <comment ref="B117" authorId="0" shapeId="0">
      <text>
        <r>
          <rPr>
            <b/>
            <sz val="9"/>
            <color indexed="81"/>
            <rFont val="Tahoma"/>
            <family val="2"/>
          </rPr>
          <t>Edwin Vega-Araya:</t>
        </r>
        <r>
          <rPr>
            <sz val="9"/>
            <color indexed="81"/>
            <rFont val="Tahoma"/>
            <family val="2"/>
          </rPr>
          <t xml:space="preserve">
En la EN se hace un análisis muy reducido de estas diferencias regionales.  Se recomienda que para la implementación se analicen a profundidad las ZPHUS para desarrollar algunas acciones particulares.</t>
        </r>
      </text>
    </comment>
    <comment ref="B120" authorId="0" shapeId="0">
      <text>
        <r>
          <rPr>
            <b/>
            <sz val="9"/>
            <color indexed="81"/>
            <rFont val="Tahoma"/>
            <family val="2"/>
          </rPr>
          <t>Edwin Vega-Araya:</t>
        </r>
        <r>
          <rPr>
            <sz val="9"/>
            <color indexed="81"/>
            <rFont val="Tahoma"/>
            <family val="2"/>
          </rPr>
          <t xml:space="preserve">
Las actividades alternativas al bosque, a saber, cultivos agrícolas y pastos para ganadería, cambian su competitividad principalmente por 2 factores, los precios de los productos finales, y la productividad -posibilidades de intensificación-.  Ambos elementos son considerados acá.</t>
        </r>
      </text>
    </comment>
    <comment ref="B124" authorId="0" shapeId="0">
      <text>
        <r>
          <rPr>
            <b/>
            <sz val="9"/>
            <color indexed="81"/>
            <rFont val="Tahoma"/>
            <family val="2"/>
          </rPr>
          <t>Edwin Vega-Araya:</t>
        </r>
        <r>
          <rPr>
            <sz val="9"/>
            <color indexed="81"/>
            <rFont val="Tahoma"/>
            <family val="2"/>
          </rPr>
          <t xml:space="preserve">
Mencionado como un factor indirecto estructural, sin embargo creo que su importancia es minimizada, en el sentido que es una variable muy sensible para las “probabilidades de deforestación” y hasta para la agrupación geo estadística de las ZPHUS.  </t>
        </r>
      </text>
    </comment>
  </commentList>
</comments>
</file>

<file path=xl/comments3.xml><?xml version="1.0" encoding="utf-8"?>
<comments xmlns="http://schemas.openxmlformats.org/spreadsheetml/2006/main">
  <authors>
    <author>Edwin Vega-Araya</author>
    <author>harce</author>
    <author>Carlos Varela Jimenez</author>
    <author>José Joaquin Calvo Domingo</author>
    <author>Magally Castro Alvarez</author>
    <author>Vega_Araya Edwin_Eduardo</author>
  </authors>
  <commentList>
    <comment ref="Q2" authorId="0" shapeId="0">
      <text>
        <r>
          <rPr>
            <b/>
            <sz val="9"/>
            <color indexed="81"/>
            <rFont val="Tahoma"/>
            <family val="2"/>
          </rPr>
          <t>Edwin Vega-Araya:</t>
        </r>
        <r>
          <rPr>
            <sz val="9"/>
            <color indexed="81"/>
            <rFont val="Tahoma"/>
            <family val="2"/>
          </rPr>
          <t xml:space="preserve">
Implementador principal  (IP), Implementador de Apoyo (IA)</t>
        </r>
      </text>
    </comment>
    <comment ref="BF2" authorId="0" shapeId="0">
      <text>
        <r>
          <rPr>
            <b/>
            <sz val="9"/>
            <color indexed="81"/>
            <rFont val="Tahoma"/>
            <family val="2"/>
          </rPr>
          <t>Edwin Vega-Araya:</t>
        </r>
        <r>
          <rPr>
            <sz val="9"/>
            <color indexed="81"/>
            <rFont val="Tahoma"/>
            <family val="2"/>
          </rPr>
          <t xml:space="preserve">
El Plan Financiero desarrollado por Terra Global para la Secretaría de REDD+ CR tiene los siguientes capítulos:
1. REDD+ </t>
        </r>
        <r>
          <rPr>
            <b/>
            <sz val="9"/>
            <color indexed="81"/>
            <rFont val="Tahoma"/>
            <family val="2"/>
          </rPr>
          <t>PROGRAM ADMINISTRATION AND MANAGEMENT</t>
        </r>
        <r>
          <rPr>
            <sz val="9"/>
            <color indexed="81"/>
            <rFont val="Tahoma"/>
            <family val="2"/>
          </rPr>
          <t xml:space="preserve"> COSTS
   1.1 STAFFING COSTS
   1.2 KEY </t>
        </r>
        <r>
          <rPr>
            <b/>
            <sz val="9"/>
            <color indexed="81"/>
            <rFont val="Tahoma"/>
            <family val="2"/>
          </rPr>
          <t>CONSULTANCIES AND STUDIES</t>
        </r>
        <r>
          <rPr>
            <sz val="9"/>
            <color indexed="81"/>
            <rFont val="Tahoma"/>
            <family val="2"/>
          </rPr>
          <t xml:space="preserve">
   1.3 TRAVEL TO SUPPORT MANAGEMENT OF ER PROGRAM
   1.5 STAKEHOLDER ENGAGEMENT
      1.5.1 Stakeholder Meetings
      1.5.2 Stakeholder Consultants and Communication
   1.6 SAFEGUARDS AND REDRESS SYSTEMS
      1.6.1 Safeguards Monitoring
      1.6.2 Redress and Grievances
   1.7 BENEFITS PLAN MANAGEMENT
   1.8 EMISSION REDUCTION QUANTIFICATION, VERIFICATION AND ISSUANCE
2 REDD+ PROGRAM ACTIVITIES COSTS
   2.1    </t>
        </r>
        <r>
          <rPr>
            <b/>
            <sz val="9"/>
            <color indexed="81"/>
            <rFont val="Tahoma"/>
            <family val="2"/>
          </rPr>
          <t>FONAFIFO</t>
        </r>
        <r>
          <rPr>
            <sz val="9"/>
            <color indexed="81"/>
            <rFont val="Tahoma"/>
            <family val="2"/>
          </rPr>
          <t xml:space="preserve"> PAYMENT FOR ENVIRONMENTAL SERVICES (PSA)
   2.2    </t>
        </r>
        <r>
          <rPr>
            <b/>
            <sz val="9"/>
            <color indexed="81"/>
            <rFont val="Tahoma"/>
            <family val="2"/>
          </rPr>
          <t>SINAC</t>
        </r>
        <r>
          <rPr>
            <sz val="9"/>
            <color indexed="81"/>
            <rFont val="Tahoma"/>
            <family val="2"/>
          </rPr>
          <t xml:space="preserve"> INCREASED GOVERNANCE/SIZE OF PROTECTED AREAS
Los puestos en Negrita son los que aparecen en la tabla</t>
        </r>
      </text>
    </comment>
    <comment ref="H3" authorId="0" shapeId="0">
      <text>
        <r>
          <rPr>
            <b/>
            <sz val="9"/>
            <color indexed="81"/>
            <rFont val="Tahoma"/>
            <family val="2"/>
          </rPr>
          <t>Edwin Vega-Araya:</t>
        </r>
        <r>
          <rPr>
            <sz val="9"/>
            <color indexed="81"/>
            <rFont val="Tahoma"/>
            <family val="2"/>
          </rPr>
          <t xml:space="preserve">
VER ABAJO EL SIGNIFICADO DE LOS CÓDIGOS</t>
        </r>
      </text>
    </comment>
    <comment ref="I3" authorId="0" shapeId="0">
      <text>
        <r>
          <rPr>
            <b/>
            <sz val="9"/>
            <color indexed="81"/>
            <rFont val="Tahoma"/>
            <family val="2"/>
          </rPr>
          <t>Edwin Vega-Araya:</t>
        </r>
        <r>
          <rPr>
            <sz val="9"/>
            <color indexed="81"/>
            <rFont val="Tahoma"/>
            <family val="2"/>
          </rPr>
          <t xml:space="preserve">
VER ABAJO EL SIGNIFICADO DE LOS CÓDIGOS</t>
        </r>
      </text>
    </comment>
    <comment ref="CS3" authorId="0" shapeId="0">
      <text>
        <r>
          <rPr>
            <b/>
            <sz val="9"/>
            <color indexed="81"/>
            <rFont val="Tahoma"/>
            <family val="2"/>
          </rPr>
          <t>Edwin Vega-Araya:</t>
        </r>
        <r>
          <rPr>
            <sz val="9"/>
            <color indexed="81"/>
            <rFont val="Tahoma"/>
            <family val="2"/>
          </rPr>
          <t xml:space="preserve">
Identificar en la fórmula en el Archivo Plan de Implementación V7 las actividades de "Plan Adq FPrep2" que integran cada monto.</t>
        </r>
      </text>
    </comment>
    <comment ref="CT3" authorId="0" shapeId="0">
      <text>
        <r>
          <rPr>
            <b/>
            <sz val="9"/>
            <color indexed="81"/>
            <rFont val="Tahoma"/>
            <family val="2"/>
          </rPr>
          <t xml:space="preserve">Edwin Vega-Araya: </t>
        </r>
        <r>
          <rPr>
            <sz val="9"/>
            <color indexed="81"/>
            <rFont val="Tahoma"/>
            <family val="2"/>
          </rPr>
          <t xml:space="preserve">Revisar en el Plan de Adquisiciones la distribución entre 2016, 2017 y 2018 de estos fondos.
</t>
        </r>
      </text>
    </comment>
    <comment ref="N6"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AH6" authorId="0" shapeId="0">
      <text>
        <r>
          <rPr>
            <b/>
            <sz val="9"/>
            <color indexed="81"/>
            <rFont val="Tahoma"/>
            <family val="2"/>
          </rPr>
          <t>Edwin Vega-Araya:</t>
        </r>
        <r>
          <rPr>
            <sz val="9"/>
            <color indexed="81"/>
            <rFont val="Tahoma"/>
            <family val="2"/>
          </rPr>
          <t xml:space="preserve">
La cifra en dólares se convierte a colones a un tipo de cambio de 550 colones por US$.  Supone un tamaño de finca medio de 20 ha. Y un costo de implementación de medidas según la estimación realizada en "Costos de Implementación en el campo".
Es un promedio ponderado donde los ponderadores vienen del Censo Agropecuario.  Se censaron 93 017 fincas con extención total de 2 406 418 ha lo que da un promedio de casi 26 ha por finca.  Como entre las fincas censadas van fincas de protección incluídas, se considera que 20 ha como extensión media de fincas ganaderas y 10 ha como extensión media de fincas agrícolas es bueno.  Los ponderadores usados se basan en que 1 044 909,6 / 2 406 418,4 = 43,4% es extensión dedicada a pastos; (167 163,4 + 377 214,2) / 2 406 418,4 = 22,6% es dedicada a labranza y cultivos permanentes.  736 502,2 / 2 406 418,4 = 30,6% es dedicada a bosques.  El resto (3,4%) es de otros usos.  Considerando solamente las extensiones dedicadas a pastos y las de agrícolas los ponderadores serían 43,4 x 100 / (43,4+22,6) = 65,8 para "ganaderas" y 22,6 x 100 / 66 = 34,2 para "agrícolas".  El supuesto para el cálculo es que el crédito se distribuirá proporcionalmente entre las hectáreas en ganadería y las hectáreas en agricultura según éstas se distribuyen en las fincas censadas.</t>
        </r>
      </text>
    </comment>
    <comment ref="AH7" authorId="0" shapeId="0">
      <text>
        <r>
          <rPr>
            <b/>
            <sz val="9"/>
            <color indexed="81"/>
            <rFont val="Tahoma"/>
            <family val="2"/>
          </rPr>
          <t>Edwin Vega-Araya:</t>
        </r>
        <r>
          <rPr>
            <sz val="9"/>
            <color indexed="81"/>
            <rFont val="Tahoma"/>
            <family val="2"/>
          </rPr>
          <t xml:space="preserve">
Para determinar el número de fincas que en promedio significan esta cantidad de ha, se divide entre 10 que es el tamaño de finca promedio.  En el indicador anteriror, para las fincas ganaderas, el divisor es 20 ya que se estima en 20 ha el tamaño de finca promedio de las mismas.</t>
        </r>
      </text>
    </comment>
    <comment ref="N8"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BJ8" authorId="0" shapeId="0">
      <text>
        <r>
          <rPr>
            <b/>
            <sz val="9"/>
            <color indexed="81"/>
            <rFont val="Tahoma"/>
            <family val="2"/>
          </rPr>
          <t>Edwin Vega-Araya:</t>
        </r>
        <r>
          <rPr>
            <sz val="9"/>
            <color indexed="81"/>
            <rFont val="Tahoma"/>
            <family val="2"/>
          </rPr>
          <t xml:space="preserve">
costo por capacitación es aproximado según la Gerencia de Participación Ciudadana y Gobernanza (300,000 colones)</t>
        </r>
      </text>
    </comment>
    <comment ref="B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N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AL9" authorId="1" shapeId="0">
      <text>
        <r>
          <rPr>
            <b/>
            <sz val="9"/>
            <color indexed="81"/>
            <rFont val="Tahoma"/>
            <family val="2"/>
          </rPr>
          <t>harce:</t>
        </r>
        <r>
          <rPr>
            <sz val="9"/>
            <color indexed="81"/>
            <rFont val="Tahoma"/>
            <family val="2"/>
          </rPr>
          <t xml:space="preserve">
se supone que para ese año FONAFIFO será operador del sistema de Banca para el Desarrollo 
s</t>
        </r>
      </text>
    </comment>
    <comment ref="AV9" authorId="0" shapeId="0">
      <text>
        <r>
          <rPr>
            <b/>
            <sz val="9"/>
            <color indexed="81"/>
            <rFont val="Tahoma"/>
            <family val="2"/>
          </rPr>
          <t>Edwin Vega-Araya:</t>
        </r>
        <r>
          <rPr>
            <sz val="9"/>
            <color indexed="81"/>
            <rFont val="Tahoma"/>
            <family val="2"/>
          </rPr>
          <t xml:space="preserve">
Ojo que es el dato incremental, corregir al pasar.
CORREGIDO 14/11/2016</t>
        </r>
      </text>
    </comment>
    <comment ref="BA9" authorId="1" shapeId="0">
      <text>
        <r>
          <rPr>
            <b/>
            <sz val="9"/>
            <color indexed="81"/>
            <rFont val="Tahoma"/>
            <family val="2"/>
          </rPr>
          <t>harce:</t>
        </r>
        <r>
          <rPr>
            <sz val="9"/>
            <color indexed="81"/>
            <rFont val="Tahoma"/>
            <family val="2"/>
          </rPr>
          <t xml:space="preserve">
se estima que al menos 6 millones de dolares de los posibles beneficios de REDD+ deben pasar al programa de crédito para apoyar ele stablecimiento de plantaciones y sistemas agroforestales. Al colocar estos recursp en crédito esta ganando todo el sector forestal ya que se da sostenibilidad financiera debido a los retornos.
</t>
        </r>
        <r>
          <rPr>
            <b/>
            <sz val="9"/>
            <color indexed="81"/>
            <rFont val="Tahoma"/>
            <family val="2"/>
          </rPr>
          <t xml:space="preserve">evega:
</t>
        </r>
        <r>
          <rPr>
            <sz val="9"/>
            <color indexed="81"/>
            <rFont val="Tahoma"/>
            <family val="2"/>
          </rPr>
          <t>Se estima que se agregará 1,000,000 por año desde 2019 hasta 2023.</t>
        </r>
      </text>
    </comment>
    <comment ref="BJ9" authorId="0" shapeId="0">
      <text>
        <r>
          <rPr>
            <b/>
            <sz val="9"/>
            <color indexed="81"/>
            <rFont val="Tahoma"/>
            <family val="2"/>
          </rPr>
          <t>Edwin Vega-Araya:</t>
        </r>
        <r>
          <rPr>
            <sz val="9"/>
            <color indexed="81"/>
            <rFont val="Tahoma"/>
            <family val="2"/>
          </rPr>
          <t xml:space="preserve">
Los costos sin y con REDD+ son iguales corresponden a la operación del departamento.  Zoila pasó el dato el 15/11/2016 por email.   Se agrega el aporte en la situación Con REDD+ de los aportes de la Preparación de la Segunda donación.</t>
        </r>
      </text>
    </comment>
    <comment ref="BX9"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BY9"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N12"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BJ12" authorId="0" shapeId="0">
      <text>
        <r>
          <rPr>
            <b/>
            <sz val="9"/>
            <color indexed="81"/>
            <rFont val="Tahoma"/>
            <family val="2"/>
          </rPr>
          <t>Edwin Vega-Araya:</t>
        </r>
        <r>
          <rPr>
            <sz val="9"/>
            <color indexed="81"/>
            <rFont val="Tahoma"/>
            <family val="2"/>
          </rPr>
          <t xml:space="preserve">
Es una actividad nueva por lo que no lleva "Sin REDD+"</t>
        </r>
      </text>
    </comment>
    <comment ref="BX12" authorId="0" shapeId="0">
      <text>
        <r>
          <rPr>
            <b/>
            <sz val="9"/>
            <color indexed="81"/>
            <rFont val="Tahoma"/>
            <family val="2"/>
          </rPr>
          <t>Edwin Vega-Araya:</t>
        </r>
        <r>
          <rPr>
            <sz val="9"/>
            <color indexed="81"/>
            <rFont val="Tahoma"/>
            <family val="2"/>
          </rPr>
          <t xml:space="preserve">
Consiste en una consultoría + un sistema de información digital en línea con el Sistema Nacional de Métrica que desarrolle la DCC.
Consultoría de un equipo que haga las dos cosas un año de duración $120,000.  La consultoría para el mecanismo de compensación que lleva parámetros similares está valorada en ese monto.</t>
        </r>
      </text>
    </comment>
    <comment ref="N14"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Directriz ministerial con lo del Programa de Bosques y Desarrollo Rural).  Serían profesionales.</t>
        </r>
      </text>
    </comment>
    <comment ref="AI14" authorId="0" shapeId="0">
      <text>
        <r>
          <rPr>
            <b/>
            <sz val="9"/>
            <color indexed="81"/>
            <rFont val="Tahoma"/>
            <family val="2"/>
          </rPr>
          <t>Edwin Vega-Araya:</t>
        </r>
        <r>
          <rPr>
            <sz val="9"/>
            <color indexed="81"/>
            <rFont val="Tahoma"/>
            <family val="2"/>
          </rPr>
          <t xml:space="preserve">
El costo unitario de cada evento se estima en 330.800 colones según estimación del SINAC para el componente de capacitación en la actividad de "fortalecer el control comunitario de deforestación", en este mismo ejercicio, entre el salario profesional, combustibles, viáticos, materiales, etc.</t>
        </r>
      </text>
    </comment>
    <comment ref="AJ14" authorId="0" shapeId="0">
      <text>
        <r>
          <rPr>
            <b/>
            <sz val="9"/>
            <color indexed="81"/>
            <rFont val="Tahoma"/>
            <family val="2"/>
          </rPr>
          <t>Edwin Vega-Araya:</t>
        </r>
        <r>
          <rPr>
            <sz val="9"/>
            <color indexed="81"/>
            <rFont val="Tahoma"/>
            <family val="2"/>
          </rPr>
          <t xml:space="preserve">
Se espera al menos un taller de capacitación por región.</t>
        </r>
      </text>
    </comment>
    <comment ref="AU14" authorId="0" shapeId="0">
      <text>
        <r>
          <rPr>
            <b/>
            <sz val="9"/>
            <color indexed="81"/>
            <rFont val="Tahoma"/>
            <family val="2"/>
          </rPr>
          <t>Edwin Vega-Araya:</t>
        </r>
        <r>
          <rPr>
            <sz val="9"/>
            <color indexed="81"/>
            <rFont val="Tahoma"/>
            <family val="2"/>
          </rPr>
          <t xml:space="preserve">
Con REDD+ se podría incrementar la cantidad de talleres a cerca de 3 talleres anuales por región.</t>
        </r>
      </text>
    </comment>
    <comment ref="BK14" authorId="0" shapeId="0">
      <text>
        <r>
          <rPr>
            <b/>
            <sz val="9"/>
            <color indexed="81"/>
            <rFont val="Tahoma"/>
            <family val="2"/>
          </rPr>
          <t>Edwin Vega-Araya:</t>
        </r>
        <r>
          <rPr>
            <sz val="9"/>
            <color indexed="81"/>
            <rFont val="Tahoma"/>
            <family val="2"/>
          </rPr>
          <t xml:space="preserve">
Se supone un incremento anual en costos del 5%</t>
        </r>
      </text>
    </comment>
    <comment ref="BY14" authorId="0" shapeId="0">
      <text>
        <r>
          <rPr>
            <b/>
            <sz val="9"/>
            <color indexed="81"/>
            <rFont val="Tahoma"/>
            <family val="2"/>
          </rPr>
          <t>Edwin Vega-Araya:</t>
        </r>
        <r>
          <rPr>
            <sz val="9"/>
            <color indexed="81"/>
            <rFont val="Tahoma"/>
            <family val="2"/>
          </rPr>
          <t xml:space="preserve">
Se supone un incremento anual en costos del 5%</t>
        </r>
      </text>
    </comment>
    <comment ref="N15"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BY15" authorId="0" shapeId="0">
      <text>
        <r>
          <rPr>
            <b/>
            <sz val="9"/>
            <color indexed="81"/>
            <rFont val="Tahoma"/>
            <family val="2"/>
          </rPr>
          <t>Edwin Vega-Araya:</t>
        </r>
        <r>
          <rPr>
            <sz val="9"/>
            <color indexed="81"/>
            <rFont val="Tahoma"/>
            <family val="2"/>
          </rPr>
          <t xml:space="preserve">
Se acumulan los del año anterior con los nuevos</t>
        </r>
      </text>
    </comment>
    <comment ref="B17" authorId="0" shapeId="0">
      <text>
        <r>
          <rPr>
            <b/>
            <sz val="9"/>
            <color indexed="81"/>
            <rFont val="Tahoma"/>
            <family val="2"/>
          </rPr>
          <t>Edwin Vega-Araya:</t>
        </r>
        <r>
          <rPr>
            <sz val="9"/>
            <color indexed="81"/>
            <rFont val="Tahoma"/>
            <family val="2"/>
          </rPr>
          <t xml:space="preserve">
Revisar porque debería ser la ONF ya que con la preparación hay $582.000 para fortalecer los modelos de negocio y no se visualiza.</t>
        </r>
      </text>
    </comment>
    <comment ref="N17"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AU17" authorId="0" shapeId="0">
      <text>
        <r>
          <rPr>
            <b/>
            <sz val="9"/>
            <color indexed="81"/>
            <rFont val="Tahoma"/>
            <family val="2"/>
          </rPr>
          <t>Edwin Vega-Araya:</t>
        </r>
        <r>
          <rPr>
            <sz val="9"/>
            <color indexed="81"/>
            <rFont val="Tahoma"/>
            <family val="2"/>
          </rPr>
          <t xml:space="preserve">
Basado en el Plan de Adquisiciones segunda donación para REDD+</t>
        </r>
      </text>
    </comment>
    <comment ref="N18"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P18" authorId="0" shapeId="0">
      <text>
        <r>
          <rPr>
            <b/>
            <sz val="9"/>
            <color indexed="81"/>
            <rFont val="Tahoma"/>
            <family val="2"/>
          </rPr>
          <t>Edwin Vega-Araya:</t>
        </r>
        <r>
          <rPr>
            <sz val="9"/>
            <color indexed="81"/>
            <rFont val="Tahoma"/>
            <family val="2"/>
          </rPr>
          <t xml:space="preserve">
Faltaría agregar el costo de seguimiento que es la pesona que va metiendo la información y el soporte informático donde va a estar que esté sostenido y no se caiga (Servidor y capacidad del servidor). Consultar a María Isabel. Con el Plan de Adquisiciones se hace la inversión, pero la operación (seguimiento o monitoreo) falta de incluirlo.  Actualmente la institución le paga a ADDAX.</t>
        </r>
      </text>
    </comment>
    <comment ref="AH18" authorId="0" shapeId="0">
      <text>
        <r>
          <rPr>
            <b/>
            <sz val="9"/>
            <color indexed="81"/>
            <rFont val="Tahoma"/>
            <family val="2"/>
          </rPr>
          <t>Edwin Vega-Araya:</t>
        </r>
        <r>
          <rPr>
            <sz val="9"/>
            <color indexed="81"/>
            <rFont val="Tahoma"/>
            <family val="2"/>
          </rPr>
          <t xml:space="preserve">
La meta es que esta relación se vaya reduciendo en el tiempo.  Lo que hay que mejorar es la parte de la vigilancia en la industria pues la parte de los permisos si es más confiable.  
Los m3 de madera en permisos se publican anualmente en el informe SEMEC de SINAC, en los permisos de aprovechamiento maderable.
Los m3 de madera en industria del cuadro de volumen reportado en centros de aserrío.</t>
        </r>
      </text>
    </comment>
    <comment ref="BI18" authorId="0" shapeId="0">
      <text>
        <r>
          <rPr>
            <b/>
            <sz val="9"/>
            <color indexed="81"/>
            <rFont val="Tahoma"/>
            <family val="2"/>
          </rPr>
          <t>Edwin Vega-Araya:</t>
        </r>
        <r>
          <rPr>
            <sz val="9"/>
            <color indexed="81"/>
            <rFont val="Tahoma"/>
            <family val="2"/>
          </rPr>
          <t xml:space="preserve">
Supuestos:
un promedio de (1 profesional medio tiempo + 1 técnico tiempo completo + funcionarios de control a 1/2 tiempo) por oficina subregional y son 33 oficinas.
Salario del profesionas = 1.2
00.000
Salario del técnico = 800.000
Salario del funcionario del control=600.000
Gasto mensual 8 viáticos el técnico, 12 los de control, a 5.150 el viático.
Equipo: gasolina: 12x5000 + equipo 10.000/mes.</t>
        </r>
      </text>
    </comment>
    <comment ref="BX18" authorId="0" shapeId="0">
      <text>
        <r>
          <rPr>
            <b/>
            <sz val="9"/>
            <color indexed="81"/>
            <rFont val="Tahoma"/>
            <family val="2"/>
          </rPr>
          <t>Edwin Vega-Araya:</t>
        </r>
        <r>
          <rPr>
            <sz val="9"/>
            <color indexed="81"/>
            <rFont val="Tahoma"/>
            <family val="2"/>
          </rPr>
          <t xml:space="preserve">
Supuestos:
un promedio de (1 profesional medio tiempo + 1 técnico tiempo completo Y OTRO A MEDIO TIEMPO + 2 funcionarios de control a TIEMPO COMPLETO ) por oficina subregional y son 33 oficinas.
Salario del profesionas = 1.200.000
Salario del técnico = 800.000
Salario del funcionario del control=600.000
Gasto mensual 12 viáticos el técnico, 24 los de control, a 5.150 el viático.
Equipo: gasolina: 24x5000 + equipo 15.000/mes.</t>
        </r>
      </text>
    </comment>
    <comment ref="N20"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BX20" authorId="0" shapeId="0">
      <text>
        <r>
          <rPr>
            <b/>
            <sz val="9"/>
            <color indexed="81"/>
            <rFont val="Tahoma"/>
            <family val="2"/>
          </rPr>
          <t>Edwin Vega-Araya:</t>
        </r>
        <r>
          <rPr>
            <sz val="9"/>
            <color indexed="81"/>
            <rFont val="Tahoma"/>
            <family val="2"/>
          </rPr>
          <t xml:space="preserve">
El costo de cada estudio se estima equivalente a una consultoría de U$24,000</t>
        </r>
      </text>
    </comment>
    <comment ref="N22" authorId="0" shapeId="0">
      <text>
        <r>
          <rPr>
            <b/>
            <sz val="9"/>
            <color indexed="81"/>
            <rFont val="Tahoma"/>
            <family val="2"/>
          </rPr>
          <t>Edwin Vega-Araya:</t>
        </r>
        <r>
          <rPr>
            <sz val="9"/>
            <color indexed="81"/>
            <rFont val="Tahoma"/>
            <family val="2"/>
          </rPr>
          <t xml:space="preserve">
Promovido por PNUD</t>
        </r>
      </text>
    </comment>
    <comment ref="AH22" authorId="0" shapeId="0">
      <text>
        <r>
          <rPr>
            <b/>
            <sz val="9"/>
            <color indexed="81"/>
            <rFont val="Tahoma"/>
            <family val="2"/>
          </rPr>
          <t>Edwin Vega-Araya:</t>
        </r>
        <r>
          <rPr>
            <sz val="9"/>
            <color indexed="81"/>
            <rFont val="Tahoma"/>
            <family val="2"/>
          </rPr>
          <t xml:space="preserve">
Ya la de Piña está.  Faltarían los otros 2 cultivos y están contemplados en el Plan de Adquisisiones</t>
        </r>
      </text>
    </comment>
    <comment ref="N24"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AK24" authorId="0" shapeId="0">
      <text>
        <r>
          <rPr>
            <b/>
            <sz val="9"/>
            <color indexed="81"/>
            <rFont val="Tahoma"/>
            <family val="2"/>
          </rPr>
          <t>Edwin Vega-Araya:</t>
        </r>
        <r>
          <rPr>
            <sz val="9"/>
            <color indexed="81"/>
            <rFont val="Tahoma"/>
            <family val="2"/>
          </rPr>
          <t xml:space="preserve">
El crecimiento esperado en la situación actual es de incorporar 10 fincas adicionales cada año.</t>
        </r>
      </text>
    </comment>
    <comment ref="AU24" authorId="0" shapeId="0">
      <text>
        <r>
          <rPr>
            <b/>
            <sz val="9"/>
            <color indexed="81"/>
            <rFont val="Tahoma"/>
            <family val="2"/>
          </rPr>
          <t>Edwin Vega-Araya:</t>
        </r>
        <r>
          <rPr>
            <sz val="9"/>
            <color indexed="81"/>
            <rFont val="Tahoma"/>
            <family val="2"/>
          </rPr>
          <t xml:space="preserve">
Con REDD+ se podría llegar a 50 de incremento anual de fincas incorporadas al programa.  El primer año se supone casi la mitad de eso.
Según email del 28/11/2016 de Mauricio Chacón.</t>
        </r>
      </text>
    </comment>
    <comment ref="BJ24" authorId="0" shapeId="0">
      <text>
        <r>
          <rPr>
            <b/>
            <sz val="9"/>
            <color indexed="81"/>
            <rFont val="Tahoma"/>
            <family val="2"/>
          </rPr>
          <t>Edwin Vega-Araya:</t>
        </r>
        <r>
          <rPr>
            <sz val="9"/>
            <color indexed="81"/>
            <rFont val="Tahoma"/>
            <family val="2"/>
          </rPr>
          <t xml:space="preserve">
Se estima el costo de incorporar una finca adicional al PPN como el tiempo horas técnico y profesional dedicados a visitas y asistencia técnica al finquero para el convencimiento y desarrollo de actividades. Un profesional y un técnico que hagan 6 visitas de campo de 1 hora cada visita.  Una visita cuesta 7,000 (hora del profesional) + 5,000 (hora del técnico) + 5,000 (combustible) + 4,000 (media de viáticos) = 21,000.  Por lo tanto 6 visitas cuestan = 126,000 colones.</t>
        </r>
      </text>
    </comment>
    <comment ref="AI27" authorId="0" shapeId="0">
      <text>
        <r>
          <rPr>
            <b/>
            <sz val="9"/>
            <color indexed="81"/>
            <rFont val="Tahoma"/>
            <family val="2"/>
          </rPr>
          <t>Edwin Vega-Araya:</t>
        </r>
        <r>
          <rPr>
            <sz val="9"/>
            <color indexed="81"/>
            <rFont val="Tahoma"/>
            <family val="2"/>
          </rPr>
          <t xml:space="preserve">
El indicador de resultado es el mismo con y sin REDD+ pero la calidad (y costo) de la campaña cambia en una y otra situación.</t>
        </r>
      </text>
    </comment>
    <comment ref="BI27" authorId="0" shapeId="0">
      <text>
        <r>
          <rPr>
            <b/>
            <sz val="9"/>
            <color indexed="81"/>
            <rFont val="Tahoma"/>
            <family val="2"/>
          </rPr>
          <t>Edwin Vega-Araya:</t>
        </r>
        <r>
          <rPr>
            <sz val="9"/>
            <color indexed="81"/>
            <rFont val="Tahoma"/>
            <family val="2"/>
          </rPr>
          <t xml:space="preserve">
Es un costo de campaña para las condiciones básicas.</t>
        </r>
      </text>
    </comment>
    <comment ref="N28"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AI28" authorId="0" shapeId="0">
      <text>
        <r>
          <rPr>
            <b/>
            <sz val="9"/>
            <color indexed="81"/>
            <rFont val="Tahoma"/>
            <family val="2"/>
          </rPr>
          <t>Edwin Vega-Araya:</t>
        </r>
        <r>
          <rPr>
            <sz val="9"/>
            <color indexed="81"/>
            <rFont val="Tahoma"/>
            <family val="2"/>
          </rPr>
          <t xml:space="preserve">
Son todas las brigadas actuales.  De esas algunas les falta seguimiento.</t>
        </r>
      </text>
    </comment>
    <comment ref="BI28" authorId="0" shapeId="0">
      <text>
        <r>
          <rPr>
            <b/>
            <sz val="9"/>
            <color indexed="81"/>
            <rFont val="Tahoma"/>
            <family val="2"/>
          </rPr>
          <t>Edwin Vega-Araya:</t>
        </r>
        <r>
          <rPr>
            <sz val="9"/>
            <color indexed="81"/>
            <rFont val="Tahoma"/>
            <family val="2"/>
          </rPr>
          <t xml:space="preserve">
Capacitación +- 150000 por persona
Seguimiento (una visita mensual) +- 15150 * 12 = 181.800
Equipamiento (a cada persona) 180.000 en el primer año del equipo completo + en los siguientes años hay que dar adicionales 68.000 cada tres años. 
Tenemos actualmente 300 bomberos forestales equipados bien.  Se quiere llegar a 1000 con el seguimiento.  Sin REDD solo se alcanzaría 700.</t>
        </r>
      </text>
    </comment>
    <comment ref="BJ28" authorId="0" shapeId="0">
      <text>
        <r>
          <rPr>
            <b/>
            <sz val="9"/>
            <color indexed="81"/>
            <rFont val="Tahoma"/>
            <family val="2"/>
          </rPr>
          <t>Edwin Vega-Araya:</t>
        </r>
        <r>
          <rPr>
            <sz val="9"/>
            <color indexed="81"/>
            <rFont val="Tahoma"/>
            <family val="2"/>
          </rPr>
          <t xml:space="preserve">
Los 15.000.000 de capacitación es por capacitar 200 personas por año a un costo de 75.000 por persona.</t>
        </r>
      </text>
    </comment>
    <comment ref="BX28" authorId="0" shapeId="0">
      <text>
        <r>
          <rPr>
            <b/>
            <sz val="9"/>
            <color indexed="81"/>
            <rFont val="Tahoma"/>
            <family val="2"/>
          </rPr>
          <t>Edwin Vega-Araya:</t>
        </r>
        <r>
          <rPr>
            <sz val="9"/>
            <color indexed="81"/>
            <rFont val="Tahoma"/>
            <family val="2"/>
          </rPr>
          <t xml:space="preserve">
En este caso el seguimiento incluye además la capacitación de 500 personas por año a un costo de 75.000 por persona = 37.500.000 de capacitación.
</t>
        </r>
      </text>
    </comment>
    <comment ref="AG29" authorId="2" shapeId="0">
      <text>
        <r>
          <rPr>
            <b/>
            <sz val="9"/>
            <color indexed="81"/>
            <rFont val="Tahoma"/>
            <family val="2"/>
          </rPr>
          <t>Carlos Varela Jimenez:</t>
        </r>
        <r>
          <rPr>
            <sz val="9"/>
            <color indexed="81"/>
            <rFont val="Tahoma"/>
            <family val="2"/>
          </rPr>
          <t xml:space="preserve">
Los COVIRENA e inspectores ambientales ad honorem tendrán participación dentro y fuera de ASP, por tanto el Área de Infuencia será todo el territorio</t>
        </r>
      </text>
    </comment>
    <comment ref="N31"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N34"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BV34" authorId="2" shapeId="0">
      <text>
        <r>
          <rPr>
            <b/>
            <sz val="9"/>
            <color indexed="81"/>
            <rFont val="Tahoma"/>
            <family val="2"/>
          </rPr>
          <t>Carlos Varela Jimenez:</t>
        </r>
        <r>
          <rPr>
            <sz val="9"/>
            <color indexed="81"/>
            <rFont val="Tahoma"/>
            <family val="2"/>
          </rPr>
          <t xml:space="preserve">
Se financia con pagos de la regencia más otros recursos del CIAgro</t>
        </r>
      </text>
    </comment>
    <comment ref="B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N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AI35" authorId="0" shapeId="0">
      <text>
        <r>
          <rPr>
            <b/>
            <sz val="9"/>
            <color indexed="81"/>
            <rFont val="Tahoma"/>
            <family val="2"/>
          </rPr>
          <t>Edwin Vega-Araya:</t>
        </r>
        <r>
          <rPr>
            <sz val="9"/>
            <color indexed="81"/>
            <rFont val="Tahoma"/>
            <family val="2"/>
          </rPr>
          <t xml:space="preserve">
Es el monto anual destinado por presupuesto ordinario.</t>
        </r>
      </text>
    </comment>
    <comment ref="AU35" authorId="0" shapeId="0">
      <text>
        <r>
          <rPr>
            <b/>
            <sz val="9"/>
            <color indexed="81"/>
            <rFont val="Tahoma"/>
            <family val="2"/>
          </rPr>
          <t>Edwin Vega-Araya:</t>
        </r>
        <r>
          <rPr>
            <sz val="9"/>
            <color indexed="81"/>
            <rFont val="Tahoma"/>
            <family val="2"/>
          </rPr>
          <t xml:space="preserve">
El sr. Castillo piensa que REDD+ podría incrementar el presupuesto en 1% al menos por año para apoyar esta actividad.  La misma está originalmente contenida en la Estrategia Nacional pero por razones económicas no se le destinarán recursos.</t>
        </r>
      </text>
    </comment>
    <comment ref="B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N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N40" authorId="0" shapeId="0">
      <text>
        <r>
          <rPr>
            <b/>
            <sz val="9"/>
            <color indexed="81"/>
            <rFont val="Tahoma"/>
            <family val="2"/>
          </rPr>
          <t>Edwin Vega-Araya:</t>
        </r>
        <r>
          <rPr>
            <sz val="9"/>
            <color indexed="81"/>
            <rFont val="Tahoma"/>
            <family val="2"/>
          </rPr>
          <t xml:space="preserve">
En PAAs de EV</t>
        </r>
      </text>
    </comment>
    <comment ref="BJ43" authorId="3" shapeId="0">
      <text>
        <r>
          <rPr>
            <b/>
            <sz val="9"/>
            <color indexed="81"/>
            <rFont val="Tahoma"/>
            <family val="2"/>
          </rPr>
          <t>José Joaquin Calvo Domingo:</t>
        </r>
        <r>
          <rPr>
            <sz val="9"/>
            <color indexed="81"/>
            <rFont val="Tahoma"/>
            <family val="2"/>
          </rPr>
          <t xml:space="preserve">
Este año se realizaron 6 planaes de manejo con financiamiento externo, mas  o menos se pueden hacer un promedio de 3 al año tambien con fondos externos, el costo de cada actualoizcion anda cerca de los 15,000 dolares.</t>
        </r>
      </text>
    </comment>
    <comment ref="AI44" authorId="0" shapeId="0">
      <text>
        <r>
          <rPr>
            <b/>
            <sz val="9"/>
            <color indexed="81"/>
            <rFont val="Tahoma"/>
            <family val="2"/>
          </rPr>
          <t>Edwin Vega-Araya:</t>
        </r>
        <r>
          <rPr>
            <sz val="9"/>
            <color indexed="81"/>
            <rFont val="Tahoma"/>
            <family val="2"/>
          </rPr>
          <t xml:space="preserve">
En noviembre de 2016 se publicó N° 39952-MINAE de “ESTÁNDARES DE SOSTENIBILIDAD PARA MANEJO
DE BOSQUES SECUNDARIOS:  PRINCIPIOS, CRITERIOS E INDICADORES, CÓDIGO DE PRÁCTICAS Y MANUAL DE PROCEDIMIENTOS…"
</t>
        </r>
      </text>
    </comment>
    <comment ref="BJ44"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BV44" authorId="0" shapeId="0">
      <text>
        <r>
          <rPr>
            <b/>
            <sz val="9"/>
            <color indexed="81"/>
            <rFont val="Tahoma"/>
            <family val="2"/>
          </rPr>
          <t>Edwin Vega-Araya:</t>
        </r>
        <r>
          <rPr>
            <sz val="9"/>
            <color indexed="81"/>
            <rFont val="Tahoma"/>
            <family val="2"/>
          </rPr>
          <t xml:space="preserve">
La academia y otros se autofinancian, pero no tienen capacidad de nuevas parcelas.</t>
        </r>
      </text>
    </comment>
    <comment ref="BX44"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BY44" authorId="0" shapeId="0">
      <text>
        <r>
          <rPr>
            <b/>
            <sz val="9"/>
            <color indexed="81"/>
            <rFont val="Tahoma"/>
            <family val="2"/>
          </rPr>
          <t>Edwin Vega-Araya:</t>
        </r>
        <r>
          <rPr>
            <sz val="9"/>
            <color indexed="81"/>
            <rFont val="Tahoma"/>
            <family val="2"/>
          </rPr>
          <t xml:space="preserve">
5 parcelas en 2017 y 15 en 2018, luego las mediciones y ya para 2020 decreto</t>
        </r>
      </text>
    </comment>
    <comment ref="BZ44" authorId="0" shapeId="0">
      <text>
        <r>
          <rPr>
            <b/>
            <sz val="9"/>
            <color indexed="81"/>
            <rFont val="Tahoma"/>
            <family val="2"/>
          </rPr>
          <t>Edwin Vega-Araya:</t>
        </r>
        <r>
          <rPr>
            <sz val="9"/>
            <color indexed="81"/>
            <rFont val="Tahoma"/>
            <family val="2"/>
          </rPr>
          <t xml:space="preserve">
El estudio de los datos y propuesta y validación de nuevos criterios se estima en equivalente a consultoría de $20,000</t>
        </r>
      </text>
    </comment>
    <comment ref="N45"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AI45" authorId="0" shapeId="0">
      <text>
        <r>
          <rPr>
            <b/>
            <sz val="9"/>
            <color indexed="81"/>
            <rFont val="Tahoma"/>
            <family val="2"/>
          </rPr>
          <t>Edwin Vega-Araya:</t>
        </r>
        <r>
          <rPr>
            <sz val="9"/>
            <color indexed="81"/>
            <rFont val="Tahoma"/>
            <family val="2"/>
          </rPr>
          <t xml:space="preserve">
No ha salido el decreto.  Cuando salga se inicia el conteo del indicador.</t>
        </r>
      </text>
    </comment>
    <comment ref="AU45" authorId="0" shapeId="0">
      <text>
        <r>
          <rPr>
            <b/>
            <sz val="9"/>
            <color indexed="81"/>
            <rFont val="Tahoma"/>
            <family val="2"/>
          </rPr>
          <t>Edwin Vega-Araya:</t>
        </r>
        <r>
          <rPr>
            <sz val="9"/>
            <color indexed="81"/>
            <rFont val="Tahoma"/>
            <family val="2"/>
          </rPr>
          <t xml:space="preserve">
Se espera que con divulgación y publicidad del decreto se incrementen las solicitudes</t>
        </r>
      </text>
    </comment>
    <comment ref="BJ45"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t>
        </r>
      </text>
    </comment>
    <comment ref="BX45"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
Además incluye $10,000 de publicidad del decreto durante 2 años solamente.</t>
        </r>
      </text>
    </comment>
    <comment ref="N47"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AI47" authorId="0" shapeId="0">
      <text>
        <r>
          <rPr>
            <b/>
            <sz val="9"/>
            <color indexed="81"/>
            <rFont val="Tahoma"/>
            <family val="2"/>
          </rPr>
          <t>Edwin Vega-Araya:</t>
        </r>
        <r>
          <rPr>
            <sz val="9"/>
            <color indexed="81"/>
            <rFont val="Tahoma"/>
            <family val="2"/>
          </rPr>
          <t xml:space="preserve">
decreto Ejecutivo 39660-MINAE que ya no se tiene que renovar cada año, sino que cada 5 años, en este caso 2016 a 2021</t>
        </r>
      </text>
    </comment>
    <comment ref="AY47" authorId="0" shapeId="0">
      <text>
        <r>
          <rPr>
            <b/>
            <sz val="9"/>
            <color indexed="81"/>
            <rFont val="Tahoma"/>
            <family val="2"/>
          </rPr>
          <t>Edwin Vega-Araya:</t>
        </r>
        <r>
          <rPr>
            <sz val="9"/>
            <color indexed="81"/>
            <rFont val="Tahoma"/>
            <family val="2"/>
          </rPr>
          <t xml:space="preserve">
Este decreto tendría una mejora cualitativa respecto a la situación "sin".</t>
        </r>
      </text>
    </comment>
    <comment ref="BJ47" authorId="0" shapeId="0">
      <text>
        <r>
          <rPr>
            <b/>
            <sz val="9"/>
            <color indexed="81"/>
            <rFont val="Tahoma"/>
            <family val="2"/>
          </rPr>
          <t>Edwin Vega-Araya:</t>
        </r>
        <r>
          <rPr>
            <sz val="9"/>
            <color indexed="81"/>
            <rFont val="Tahoma"/>
            <family val="2"/>
          </rPr>
          <t xml:space="preserve">
Financiación de MACOBIO para incorporar los indicadores de Evaluación del PPSA al SINIA</t>
        </r>
      </text>
    </comment>
    <comment ref="CA47" authorId="0" shapeId="0">
      <text>
        <r>
          <rPr>
            <b/>
            <sz val="9"/>
            <color indexed="81"/>
            <rFont val="Tahoma"/>
            <family val="2"/>
          </rPr>
          <t>Edwin Vega-Araya:</t>
        </r>
        <r>
          <rPr>
            <sz val="9"/>
            <color indexed="81"/>
            <rFont val="Tahoma"/>
            <family val="2"/>
          </rPr>
          <t xml:space="preserve">
REDD+ puede financiar el estudio del estudio de los indicadores dentro de 5 años comparados con los de ahora y definir posibles cambios a los criterios.  REDD+ podría ayudar en analizar el ajuste del sistema para los indicadodres del PSA, de más menos $10.000.</t>
        </r>
      </text>
    </comment>
    <comment ref="AH49" authorId="4" shapeId="0">
      <text>
        <r>
          <rPr>
            <b/>
            <sz val="9"/>
            <color indexed="81"/>
            <rFont val="Tahoma"/>
            <family val="2"/>
          </rPr>
          <t>Magally Castro Alvarez:</t>
        </r>
        <r>
          <rPr>
            <sz val="9"/>
            <color indexed="81"/>
            <rFont val="Tahoma"/>
            <family val="2"/>
          </rPr>
          <t xml:space="preserve">
Existe un manual de capacitación de Organos Colegiados del SINAC, el cual se puede actualizar y capacitar a los consejos. 
Además se requiere de instrumentos para su fortalecimiento y seguimiento, así como su empoderamiento y l posicionamiento del tema forestal y otros para la toma de decisiciones que ellos realizan.</t>
        </r>
      </text>
    </comment>
    <comment ref="BI49" authorId="4" shapeId="0">
      <text>
        <r>
          <rPr>
            <b/>
            <sz val="9"/>
            <color indexed="81"/>
            <rFont val="Tahoma"/>
            <family val="2"/>
          </rPr>
          <t>Magally Castro Alvarez:</t>
        </r>
        <r>
          <rPr>
            <sz val="9"/>
            <color indexed="81"/>
            <rFont val="Tahoma"/>
            <family val="2"/>
          </rPr>
          <t xml:space="preserve">
Este es un calculo de los que se hizo en el 2015 que fue el año que se realizo el manual de capacitación y se aplico a algunos OC.</t>
        </r>
      </text>
    </comment>
    <comment ref="BJ49" authorId="4" shapeId="0">
      <text>
        <r>
          <rPr>
            <b/>
            <sz val="9"/>
            <color indexed="81"/>
            <rFont val="Tahoma"/>
            <family val="2"/>
          </rPr>
          <t>Magally Castro Alvarez:</t>
        </r>
        <r>
          <rPr>
            <sz val="9"/>
            <color indexed="81"/>
            <rFont val="Tahoma"/>
            <family val="2"/>
          </rPr>
          <t xml:space="preserve">
Esto inlcuye fondos SINAC y alguna contrapartida del proyecto MAPCOBIO  y de CB para fortalecer el tema.</t>
        </r>
      </text>
    </comment>
    <comment ref="BK49" authorId="4" shapeId="0">
      <text>
        <r>
          <rPr>
            <b/>
            <sz val="9"/>
            <color indexed="81"/>
            <rFont val="Tahoma"/>
            <family val="2"/>
          </rPr>
          <t>Magally Castro Alvarez:</t>
        </r>
        <r>
          <rPr>
            <sz val="9"/>
            <color indexed="81"/>
            <rFont val="Tahoma"/>
            <family val="2"/>
          </rPr>
          <t xml:space="preserve">
Fondos SINAC para acciones exporadicas de los consejos locales. Alimentacion para reunions mensuales, entre otros.  Para su funcionamiento pero no para su fortalecimiento.</t>
        </r>
      </text>
    </comment>
    <comment ref="BX49" authorId="4" shapeId="0">
      <text>
        <r>
          <rPr>
            <b/>
            <sz val="9"/>
            <color indexed="81"/>
            <rFont val="Tahoma"/>
            <family val="2"/>
          </rPr>
          <t>Magally Castro Alvarez:</t>
        </r>
        <r>
          <rPr>
            <sz val="9"/>
            <color indexed="81"/>
            <rFont val="Tahoma"/>
            <family val="2"/>
          </rPr>
          <t xml:space="preserve">
Alvarez:
Incluye:
Actualizar el manual 
Capacitar a un % de los OC </t>
        </r>
      </text>
    </comment>
    <comment ref="BY49" authorId="4" shapeId="0">
      <text>
        <r>
          <rPr>
            <b/>
            <sz val="9"/>
            <color indexed="81"/>
            <rFont val="Tahoma"/>
            <family val="2"/>
          </rPr>
          <t>Magally Castro Alvarez:</t>
        </r>
        <r>
          <rPr>
            <sz val="9"/>
            <color indexed="81"/>
            <rFont val="Tahoma"/>
            <family val="2"/>
          </rPr>
          <t xml:space="preserve">
Incluye:
Capacitar a un % de los OC 
1 Encuentro de CORAC</t>
        </r>
      </text>
    </comment>
    <comment ref="BZ49" authorId="4"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CA49" authorId="4"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N51"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BX51" authorId="0" shapeId="0">
      <text>
        <r>
          <rPr>
            <b/>
            <sz val="9"/>
            <color indexed="81"/>
            <rFont val="Tahoma"/>
            <family val="2"/>
          </rPr>
          <t>Edwin Vega-Araya:</t>
        </r>
        <r>
          <rPr>
            <sz val="9"/>
            <color indexed="81"/>
            <rFont val="Tahoma"/>
            <family val="2"/>
          </rPr>
          <t xml:space="preserve">
Costo por evento de capacitación 300,000 colones </t>
        </r>
      </text>
    </comment>
    <comment ref="AI53" authorId="0" shapeId="0">
      <text>
        <r>
          <rPr>
            <b/>
            <sz val="9"/>
            <color indexed="81"/>
            <rFont val="Tahoma"/>
            <family val="2"/>
          </rPr>
          <t>Magally Castro:</t>
        </r>
        <r>
          <rPr>
            <sz val="9"/>
            <color indexed="81"/>
            <rFont val="Tahoma"/>
            <family val="2"/>
          </rPr>
          <t xml:space="preserve">
Edwin aquí seria bueno meter el dato de cuantos CB con PSA y REDD</t>
        </r>
      </text>
    </comment>
    <comment ref="BK53" authorId="0" shapeId="0">
      <text>
        <r>
          <rPr>
            <b/>
            <sz val="9"/>
            <color indexed="81"/>
            <rFont val="Tahoma"/>
            <family val="2"/>
          </rPr>
          <t>Edwin Vega-Araya:</t>
        </r>
        <r>
          <rPr>
            <sz val="9"/>
            <color indexed="81"/>
            <rFont val="Tahoma"/>
            <family val="2"/>
          </rPr>
          <t xml:space="preserve">
Se valoran acciones aisladas relacionadas y no articuladas en una estrategia.</t>
        </r>
      </text>
    </comment>
    <comment ref="BX53" authorId="4" shapeId="0">
      <text>
        <r>
          <rPr>
            <b/>
            <sz val="9"/>
            <color indexed="81"/>
            <rFont val="Tahoma"/>
            <family val="2"/>
          </rPr>
          <t>Magally Castro Alvarez:</t>
        </r>
        <r>
          <rPr>
            <sz val="9"/>
            <color indexed="81"/>
            <rFont val="Tahoma"/>
            <family val="2"/>
          </rPr>
          <t xml:space="preserve">
Incluye la contratación de una estategia de defina alternativas de como llegar a los actores privados en ASP desde los consejos locales de CB</t>
        </r>
      </text>
    </comment>
    <comment ref="BY53" authorId="4" shapeId="0">
      <text>
        <r>
          <rPr>
            <b/>
            <sz val="9"/>
            <color indexed="81"/>
            <rFont val="Tahoma"/>
            <family val="2"/>
          </rPr>
          <t>Magally Castro Alvarez:</t>
        </r>
        <r>
          <rPr>
            <sz val="9"/>
            <color indexed="81"/>
            <rFont val="Tahoma"/>
            <family val="2"/>
          </rPr>
          <t xml:space="preserve">
Inclye capacitacion a todos los CL para ejecutar la estrategia 
5 CB sensibilizan a los actores privado en sobre PSA y REDD (materiales, charlas, capacitación)</t>
        </r>
      </text>
    </comment>
    <comment ref="BZ53" authorId="4" shapeId="0">
      <text>
        <r>
          <rPr>
            <b/>
            <sz val="9"/>
            <color indexed="81"/>
            <rFont val="Tahoma"/>
            <family val="2"/>
          </rPr>
          <t>Magally Castro Alvarez:</t>
        </r>
        <r>
          <rPr>
            <sz val="9"/>
            <color indexed="81"/>
            <rFont val="Tahoma"/>
            <family val="2"/>
          </rPr>
          <t xml:space="preserve">
Incluye trabajos varios para promover acuerdos, sensiblización, charlas, materiales, videos y otros por medio de los cuales los CL de los CB promueven el PSA y REDD</t>
        </r>
      </text>
    </comment>
    <comment ref="N58"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P58" authorId="0" shapeId="0">
      <text>
        <r>
          <rPr>
            <b/>
            <sz val="9"/>
            <color indexed="81"/>
            <rFont val="Tahoma"/>
            <family val="2"/>
          </rPr>
          <t>Edwin Vega-Araya:</t>
        </r>
        <r>
          <rPr>
            <sz val="9"/>
            <color indexed="81"/>
            <rFont val="Tahoma"/>
            <family val="2"/>
          </rPr>
          <t xml:space="preserve">
SONIA, DOCUMENTO DE MARLEN, QUE LA SOCIEDAD SEPA QUE HAY ORDENAMIENTO TERRRITORIAL.  Ella hizo un mapa de zonificación.</t>
        </r>
      </text>
    </comment>
    <comment ref="AI58" authorId="0" shapeId="0">
      <text>
        <r>
          <rPr>
            <b/>
            <sz val="9"/>
            <color indexed="81"/>
            <rFont val="Tahoma"/>
            <family val="2"/>
          </rPr>
          <t>Edwin Vega-Araya:</t>
        </r>
        <r>
          <rPr>
            <sz val="9"/>
            <color indexed="81"/>
            <rFont val="Tahoma"/>
            <family val="2"/>
          </rPr>
          <t xml:space="preserve">
Es una media de los últimos 4 años, aunque los últimos dos ha bajado: 2014 3495
2015 2330
</t>
        </r>
      </text>
    </comment>
    <comment ref="BJ58"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BX58"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N61"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AI61" authorId="0" shapeId="0">
      <text>
        <r>
          <rPr>
            <b/>
            <sz val="9"/>
            <color indexed="81"/>
            <rFont val="Tahoma"/>
            <family val="2"/>
          </rPr>
          <t>Edwin Vega-Araya:</t>
        </r>
        <r>
          <rPr>
            <sz val="9"/>
            <color indexed="81"/>
            <rFont val="Tahoma"/>
            <family val="2"/>
          </rPr>
          <t xml:space="preserve">
En 2 años de proyecto (Ver Folleto Divulgativode CADETI)</t>
        </r>
      </text>
    </comment>
    <comment ref="AJ61" authorId="0" shapeId="0">
      <text>
        <r>
          <rPr>
            <b/>
            <sz val="9"/>
            <color indexed="81"/>
            <rFont val="Tahoma"/>
            <family val="2"/>
          </rPr>
          <t>Edwin Vega-Araya:</t>
        </r>
        <r>
          <rPr>
            <sz val="9"/>
            <color indexed="81"/>
            <rFont val="Tahoma"/>
            <family val="2"/>
          </rPr>
          <t xml:space="preserve">
Como habrá más recursos se puede casi duplicar la atención por año</t>
        </r>
      </text>
    </comment>
    <comment ref="BJ61" authorId="0" shapeId="0">
      <text>
        <r>
          <rPr>
            <b/>
            <sz val="9"/>
            <color indexed="81"/>
            <rFont val="Tahoma"/>
            <family val="2"/>
          </rPr>
          <t>Edwin Vega-Araya:</t>
        </r>
        <r>
          <rPr>
            <sz val="9"/>
            <color indexed="81"/>
            <rFont val="Tahoma"/>
            <family val="2"/>
          </rPr>
          <t xml:space="preserve">
MANO DE OBRA ESTATAL:
Actualmente SINAC tiene 2 profesionales tiempo completo en CADETI (1200000*2*13 = 31,200,000). 
+ en el MAG hay 2 profesionales tiempo completo (31,200,000) 
+ 3 del INTA de 1/4 de tiempo que dedican (1200000*3*13/4 = 11,700,000) 
+ 5 del MAG en el campo que hacen los planes de finca y los proyectos (1/2 tiempo del proyecto con sus viáticos correspondientes: 750,000*5*13/2 = 24,375,000)
TOTAL = 98,475,000 colones.
FONDOS DISPONIBLES PARA FINCAS: 
$2,600,000 - 30% del 2017 al 2019 
$650,000 - 30% del 2020 al 2025</t>
        </r>
      </text>
    </comment>
    <comment ref="BX61" authorId="0" shapeId="0">
      <text>
        <r>
          <rPr>
            <b/>
            <sz val="9"/>
            <color indexed="81"/>
            <rFont val="Tahoma"/>
            <family val="2"/>
          </rPr>
          <t>Edwin Vega-Araya:</t>
        </r>
        <r>
          <rPr>
            <sz val="9"/>
            <color indexed="81"/>
            <rFont val="Tahoma"/>
            <family val="2"/>
          </rPr>
          <t xml:space="preserve">
El personal más o menos sería el mismo para operar el proyecto.  La parte importante sería el dinero adicional para los años en que no se cuenta financiamiento.  Tal vez algo de reforzar extensión propiamente en SINAC pues se ha perdido.</t>
        </r>
      </text>
    </comment>
    <comment ref="CA61" authorId="0" shapeId="0">
      <text>
        <r>
          <rPr>
            <b/>
            <sz val="9"/>
            <color indexed="81"/>
            <rFont val="Tahoma"/>
            <family val="2"/>
          </rPr>
          <t>Edwin Vega-Araya:</t>
        </r>
        <r>
          <rPr>
            <sz val="9"/>
            <color indexed="81"/>
            <rFont val="Tahoma"/>
            <family val="2"/>
          </rPr>
          <t xml:space="preserve">
Se aportarían $2,000,000 durante 3 años.</t>
        </r>
      </text>
    </comment>
    <comment ref="CD61" authorId="0" shapeId="0">
      <text>
        <r>
          <rPr>
            <b/>
            <sz val="9"/>
            <color indexed="81"/>
            <rFont val="Tahoma"/>
            <family val="2"/>
          </rPr>
          <t>Edwin Vega-Araya:</t>
        </r>
        <r>
          <rPr>
            <sz val="9"/>
            <color indexed="81"/>
            <rFont val="Tahoma"/>
            <family val="2"/>
          </rPr>
          <t xml:space="preserve">
Se aportarían $2,000,000 durante 3 años.</t>
        </r>
      </text>
    </comment>
    <comment ref="AH62" authorId="0" shapeId="0">
      <text>
        <r>
          <rPr>
            <b/>
            <sz val="9"/>
            <color indexed="81"/>
            <rFont val="Tahoma"/>
            <family val="2"/>
          </rPr>
          <t>Edwin Vega-Araya:</t>
        </r>
        <r>
          <rPr>
            <sz val="9"/>
            <color indexed="81"/>
            <rFont val="Tahoma"/>
            <family val="2"/>
          </rPr>
          <t xml:space="preserve">
Solo se considera el acercamiento de REDD a las municipalidades como inicio del proceso para que el IFAM y las municipalidades desarrollen proyectos REDD+.</t>
        </r>
      </text>
    </comment>
    <comment ref="BX62" authorId="0" shapeId="0">
      <text>
        <r>
          <rPr>
            <b/>
            <sz val="9"/>
            <color indexed="81"/>
            <rFont val="Tahoma"/>
            <family val="2"/>
          </rPr>
          <t>Edwin Vega-Araya:</t>
        </r>
        <r>
          <rPr>
            <sz val="9"/>
            <color indexed="81"/>
            <rFont val="Tahoma"/>
            <family val="2"/>
          </rPr>
          <t xml:space="preserve">
Se estima desarrollar con fondos de la Preparación (plan de adquisiciones) dentro del contrato del Apoyo Social de la Secretaría. (1/4 del tiempo del consultor en ese año)</t>
        </r>
      </text>
    </comment>
    <comment ref="AH64" authorId="0" shapeId="0">
      <text>
        <r>
          <rPr>
            <b/>
            <sz val="9"/>
            <color indexed="81"/>
            <rFont val="Tahoma"/>
            <family val="2"/>
          </rPr>
          <t>Edwin Vega-Araya:</t>
        </r>
        <r>
          <rPr>
            <sz val="9"/>
            <color indexed="81"/>
            <rFont val="Tahoma"/>
            <family val="2"/>
          </rPr>
          <t xml:space="preserve">
A través de Corredores biológicos es que se daría el apoyo a esto.
Los corredores que se estarán trabajando con las municipalidades son:
1-Corredor ruta los Malecu (Guatuso, Upala y Los Chiles)
2. COBRISURAC (Cartago)
3.Corredor Garcimuñoz y Torres (San José)
</t>
        </r>
        <r>
          <rPr>
            <b/>
            <sz val="9"/>
            <color indexed="81"/>
            <rFont val="Tahoma"/>
            <family val="2"/>
          </rPr>
          <t>Magaly Castro:</t>
        </r>
        <r>
          <rPr>
            <sz val="9"/>
            <color indexed="81"/>
            <rFont val="Tahoma"/>
            <family val="2"/>
          </rPr>
          <t xml:space="preserve">
Hay 7 u 8 planes de gestión de corredores biológicos, y apenas se va a hacer el plan estratégico a nivel nacional de corredores biológicos donde se establecería meta.  La estrategia de Adapatación al CC dice de crear 12 corredores biológicos nuevos.  En las metas país Aichi dice de ampliar la conectividad en un 0.5% en conectividad que significa 3 corredores biológicos nuevos.</t>
        </r>
      </text>
    </comment>
    <comment ref="AI64" authorId="0" shapeId="0">
      <text>
        <r>
          <rPr>
            <b/>
            <sz val="9"/>
            <color indexed="81"/>
            <rFont val="Tahoma"/>
            <family val="2"/>
          </rPr>
          <t>Edwin Vega-Araya:</t>
        </r>
        <r>
          <rPr>
            <sz val="9"/>
            <color indexed="81"/>
            <rFont val="Tahoma"/>
            <family val="2"/>
          </rPr>
          <t xml:space="preserve">
Se está en proceso de crear una línea base pues hasta ahora se creó el departamento.   A través de "Corredores Biológicos" se puede tener información de línea base, y en las Munic. De Guatuso, Upala y Los Chiles ya tiene algo incluído en los Planes reguladores para arborizar en ríos.</t>
        </r>
      </text>
    </comment>
    <comment ref="AL64" authorId="0" shapeId="0">
      <text>
        <r>
          <rPr>
            <b/>
            <sz val="9"/>
            <color indexed="81"/>
            <rFont val="Tahoma"/>
            <family val="2"/>
          </rPr>
          <t>Edwin Vega-Araya:</t>
        </r>
        <r>
          <rPr>
            <sz val="9"/>
            <color indexed="81"/>
            <rFont val="Tahoma"/>
            <family val="2"/>
          </rPr>
          <t xml:space="preserve">
Se espera que haya acciones aisladas de las municipalidades pero no un plan estructurado, esto debido a la menor aplicación de recursos.</t>
        </r>
      </text>
    </comment>
    <comment ref="BI64" authorId="0" shapeId="0">
      <text>
        <r>
          <rPr>
            <b/>
            <sz val="9"/>
            <color indexed="81"/>
            <rFont val="Tahoma"/>
            <family val="2"/>
          </rPr>
          <t>Edwin Vega-Araya:</t>
        </r>
        <r>
          <rPr>
            <sz val="9"/>
            <color indexed="81"/>
            <rFont val="Tahoma"/>
            <family val="2"/>
          </rPr>
          <t xml:space="preserve">
Incluye Elaboración del Plan (un forestal) +- 5millones
Más capacitación y sensibilización del mismo (tallleres a Concejo Municipal, al Consejo del Corredor Biológico, y otras fuerzas vivas) +- 300.000 por taller y (15 personas x  40.000 por persona = 600.000.  Y son por 2 talleres y un intercambio por municipalidad).  total = 1.200.000
Materia prima (una parte donaciones, y otra compra en viveros locales y posiblemente fomentar la creación de alguno) +- 600.000 (se hace una analogía aproximada con la siembra de cercas en SAF)
Esto implica el costo por municipalidad atendida es de 6.800.000 </t>
        </r>
      </text>
    </comment>
    <comment ref="AI67" authorId="0" shapeId="0">
      <text>
        <r>
          <rPr>
            <b/>
            <sz val="9"/>
            <color indexed="81"/>
            <rFont val="Tahoma"/>
            <family val="2"/>
          </rPr>
          <t>Edwin Vega-Araya:</t>
        </r>
        <r>
          <rPr>
            <sz val="9"/>
            <color indexed="81"/>
            <rFont val="Tahoma"/>
            <family val="2"/>
          </rPr>
          <t xml:space="preserve">
son 232 fincas y consiste las registradas con INDER que totalizan 4309 ha.
Es posible que falten unas 900 por transferir.</t>
        </r>
      </text>
    </comment>
    <comment ref="AU67" authorId="0" shapeId="0">
      <text>
        <r>
          <rPr>
            <b/>
            <sz val="9"/>
            <color indexed="81"/>
            <rFont val="Tahoma"/>
            <family val="2"/>
          </rPr>
          <t>Edwin Vega-Araya:</t>
        </r>
        <r>
          <rPr>
            <sz val="9"/>
            <color indexed="81"/>
            <rFont val="Tahoma"/>
            <family val="2"/>
          </rPr>
          <t xml:space="preserve">
La mejora es en la calidad de las tierras que son tranferidas y que tienen potencial REDD+</t>
        </r>
      </text>
    </comment>
    <comment ref="BX67" authorId="0" shapeId="0">
      <text>
        <r>
          <rPr>
            <b/>
            <sz val="9"/>
            <color indexed="81"/>
            <rFont val="Tahoma"/>
            <family val="2"/>
          </rPr>
          <t>Edwin Vega-Araya:</t>
        </r>
        <r>
          <rPr>
            <sz val="9"/>
            <color indexed="81"/>
            <rFont val="Tahoma"/>
            <family val="2"/>
          </rPr>
          <t xml:space="preserve">
se quiere pasar de 4 a 10 topógrafos en un lapso de 6 años (de 2018 a 2023) y se mantienen luego.   1.000.000 al mes más un 500.000 al mes de viáticos.
Anualmente = 1,000,000*13 + 500,000*12 = 19,000,000</t>
        </r>
      </text>
    </comment>
    <comment ref="N68"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AG68" authorId="0" shapeId="0">
      <text>
        <r>
          <rPr>
            <b/>
            <sz val="9"/>
            <color indexed="81"/>
            <rFont val="Tahoma"/>
            <family val="2"/>
          </rPr>
          <t>Edwin Vega-Araya:</t>
        </r>
        <r>
          <rPr>
            <sz val="9"/>
            <color indexed="81"/>
            <rFont val="Tahoma"/>
            <family val="2"/>
          </rPr>
          <t xml:space="preserve">
Es PNE</t>
        </r>
      </text>
    </comment>
    <comment ref="BI68"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BJ68"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BX68" authorId="0" shapeId="0">
      <text>
        <r>
          <rPr>
            <b/>
            <sz val="9"/>
            <color indexed="81"/>
            <rFont val="Tahoma"/>
            <family val="2"/>
          </rPr>
          <t>Edwin Vega-Araya:</t>
        </r>
        <r>
          <rPr>
            <sz val="9"/>
            <color indexed="81"/>
            <rFont val="Tahoma"/>
            <family val="2"/>
          </rPr>
          <t xml:space="preserve">
Podría ser que pronto se modifique la Ley y se aumenten los usos permitidos en PNE, lo que aumentaría el presupuesto en esto al doble.
El incremento en tiempo es que pase de 1/5 a 1/2 para hacer bien la función.</t>
        </r>
      </text>
    </comment>
    <comment ref="N69"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AI69" authorId="0" shapeId="0">
      <text>
        <r>
          <rPr>
            <b/>
            <sz val="9"/>
            <color indexed="81"/>
            <rFont val="Tahoma"/>
            <family val="2"/>
          </rPr>
          <t>Edwin Vega-Araya:</t>
        </r>
        <r>
          <rPr>
            <sz val="9"/>
            <color indexed="81"/>
            <rFont val="Tahoma"/>
            <family val="2"/>
          </rPr>
          <t xml:space="preserve">
Ya se cuenta con el estudio desarrollado por WCMC-PNUMA en 2016</t>
        </r>
      </text>
    </comment>
    <comment ref="AU69" authorId="0" shapeId="0">
      <text>
        <r>
          <rPr>
            <b/>
            <sz val="9"/>
            <color indexed="81"/>
            <rFont val="Tahoma"/>
            <family val="2"/>
          </rPr>
          <t>Edwin Vega-Araya:</t>
        </r>
        <r>
          <rPr>
            <sz val="9"/>
            <color indexed="81"/>
            <rFont val="Tahoma"/>
            <family val="2"/>
          </rPr>
          <t xml:space="preserve">
considera los esfuerzos de validación. Un taller.</t>
        </r>
      </text>
    </comment>
    <comment ref="BX69" authorId="0" shapeId="0">
      <text>
        <r>
          <rPr>
            <b/>
            <sz val="9"/>
            <color indexed="81"/>
            <rFont val="Tahoma"/>
            <family val="2"/>
          </rPr>
          <t>Edwin Vega-Araya:</t>
        </r>
        <r>
          <rPr>
            <sz val="9"/>
            <color indexed="81"/>
            <rFont val="Tahoma"/>
            <family val="2"/>
          </rPr>
          <t xml:space="preserve">
Taller de validación de zonas prioritarias para REDD+</t>
        </r>
      </text>
    </comment>
    <comment ref="AH71" authorId="0" shapeId="0">
      <text>
        <r>
          <rPr>
            <b/>
            <sz val="9"/>
            <color indexed="81"/>
            <rFont val="Tahoma"/>
            <family val="2"/>
          </rPr>
          <t>Edwin Vega-Araya:</t>
        </r>
        <r>
          <rPr>
            <sz val="9"/>
            <color indexed="81"/>
            <rFont val="Tahoma"/>
            <family val="2"/>
          </rPr>
          <t xml:space="preserve">
Idealmente se debería hacer 1 por año para cada ASP, por lo menos en las más conflictivas.  SINAC ahora protege a 32 parques nacionales, 51 refugios de vida silvestre, 13 reservas forestales y 8 reservas biológicas = 104 ASPs.</t>
        </r>
      </text>
    </comment>
    <comment ref="AU71" authorId="0" shapeId="0">
      <text>
        <r>
          <rPr>
            <b/>
            <sz val="9"/>
            <color indexed="81"/>
            <rFont val="Tahoma"/>
            <family val="2"/>
          </rPr>
          <t>Edwin Vega-Araya:</t>
        </r>
        <r>
          <rPr>
            <sz val="9"/>
            <color indexed="81"/>
            <rFont val="Tahoma"/>
            <family val="2"/>
          </rPr>
          <t xml:space="preserve">
duplicar al menos lo sin redd</t>
        </r>
      </text>
    </comment>
    <comment ref="BI71" authorId="0" shapeId="0">
      <text>
        <r>
          <rPr>
            <b/>
            <sz val="9"/>
            <color indexed="81"/>
            <rFont val="Tahoma"/>
            <family val="2"/>
          </rPr>
          <t>Edwin Vega-Araya:</t>
        </r>
        <r>
          <rPr>
            <sz val="9"/>
            <color indexed="81"/>
            <rFont val="Tahoma"/>
            <family val="2"/>
          </rPr>
          <t xml:space="preserve">
más o menos cada estudio vale 100,000</t>
        </r>
      </text>
    </comment>
    <comment ref="BX71" authorId="0" shapeId="0">
      <text>
        <r>
          <rPr>
            <b/>
            <sz val="9"/>
            <color indexed="81"/>
            <rFont val="Tahoma"/>
            <family val="2"/>
          </rPr>
          <t>Edwin Vega-Araya:</t>
        </r>
        <r>
          <rPr>
            <sz val="9"/>
            <color indexed="81"/>
            <rFont val="Tahoma"/>
            <family val="2"/>
          </rPr>
          <t xml:space="preserve">
Se busca más bien sistematizar tal que haya un proceso en que no salga tan caro cada estudio.  La regularización depende de muchas cosas resultado de los estudios.</t>
        </r>
      </text>
    </comment>
    <comment ref="CS71" authorId="0" shapeId="0">
      <text>
        <r>
          <rPr>
            <b/>
            <sz val="9"/>
            <color indexed="81"/>
            <rFont val="Tahoma"/>
            <family val="2"/>
          </rPr>
          <t>Edwin Vega-Araya:</t>
        </r>
        <r>
          <rPr>
            <sz val="9"/>
            <color indexed="81"/>
            <rFont val="Tahoma"/>
            <family val="2"/>
          </rPr>
          <t xml:space="preserve">
Se supone que 5/6 de los $90,000 se usan en ASP y 1/6 en otras zonas ABRE.</t>
        </r>
      </text>
    </comment>
    <comment ref="BX72" authorId="0" shapeId="0">
      <text>
        <r>
          <rPr>
            <b/>
            <sz val="9"/>
            <color indexed="81"/>
            <rFont val="Tahoma"/>
            <family val="2"/>
          </rPr>
          <t>Edwin Vega-Araya:</t>
        </r>
        <r>
          <rPr>
            <sz val="9"/>
            <color indexed="81"/>
            <rFont val="Tahoma"/>
            <family val="2"/>
          </rPr>
          <t xml:space="preserve">
Consiste en el apoyo a través del Plan de Adquisiciones del FCPF</t>
        </r>
      </text>
    </comment>
    <comment ref="B7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N7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N75"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BX77" authorId="0" shapeId="0">
      <text>
        <r>
          <rPr>
            <b/>
            <sz val="9"/>
            <color indexed="81"/>
            <rFont val="Tahoma"/>
            <family val="2"/>
          </rPr>
          <t>Edwin Vega-Araya:</t>
        </r>
        <r>
          <rPr>
            <sz val="9"/>
            <color indexed="81"/>
            <rFont val="Tahoma"/>
            <family val="2"/>
          </rPr>
          <t xml:space="preserve">
Lobby político $1000/año</t>
        </r>
      </text>
    </comment>
    <comment ref="N79"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AH79" authorId="0" shapeId="0">
      <text>
        <r>
          <rPr>
            <b/>
            <sz val="9"/>
            <color indexed="81"/>
            <rFont val="Tahoma"/>
            <family val="2"/>
          </rPr>
          <t>Edwin Vega-Araya:</t>
        </r>
        <r>
          <rPr>
            <sz val="9"/>
            <color indexed="81"/>
            <rFont val="Tahoma"/>
            <family val="2"/>
          </rPr>
          <t xml:space="preserve">
Todo debe culminar con la publicación de un decreto que lo oficialice.  El diseño tiene 3 nodos principales: 1) Monitoreo (y arreglos institucionales) 2) Clasificación  3) Mapeo.  Todas las etapas deben cumplirse para decir que está operando.
Para REDD+ el Informe de Javier y Lucio ellos plantearon qué hay que hacer para que el SIMOCUTE cumpla esos tres nodos dentro de la parte de REDD+.  No es seguro que alcance lo que está en el Plan de Adquisiones para que se desarrolle el MRV de REDD+, y eso lo dice el estudio del diseño.
En la parte del INF en Rediseño y variables hay datos del costo de la medición de las parcelas. PREGUNTAR A MAURICIO CASTILLO el costo, y podría ser lo sin REDD.  Lo con REDD sería lo proyectado por el informe de Javier que hay que "adaptar" a lo presupuestado en Plan de Adquisiciones.  La MESA TÉCNICA de REDD del SIMOCUTE dirá lo que al final se hará.  La mesa técnica puede hacerse con 3 talleres coordinada por un consultor en el primer semestre 2017.  Xinia es la consultora y maneja la logística y costos.</t>
        </r>
      </text>
    </comment>
    <comment ref="AM79" authorId="0" shapeId="0">
      <text>
        <r>
          <rPr>
            <b/>
            <sz val="9"/>
            <color indexed="81"/>
            <rFont val="Tahoma"/>
            <family val="2"/>
          </rPr>
          <t>Edwin Vega-Araya:</t>
        </r>
        <r>
          <rPr>
            <sz val="9"/>
            <color indexed="81"/>
            <rFont val="Tahoma"/>
            <family val="2"/>
          </rPr>
          <t xml:space="preserve">
El Sistema existe pero no permite incorporar nuevas actividades REDD+.</t>
        </r>
      </text>
    </comment>
    <comment ref="BX79" authorId="0" shapeId="0">
      <text>
        <r>
          <rPr>
            <b/>
            <sz val="9"/>
            <color indexed="81"/>
            <rFont val="Tahoma"/>
            <family val="2"/>
          </rPr>
          <t>Edwin Vega-Araya:</t>
        </r>
        <r>
          <rPr>
            <sz val="9"/>
            <color indexed="81"/>
            <rFont val="Tahoma"/>
            <family val="2"/>
          </rPr>
          <t xml:space="preserve">
La parte de los Fondos de Preparación para REDD se debe ejecutar en tres años, aproximando las siguientes proporciones: 2017 30%, 2018: 50%, 2019 20%.</t>
        </r>
      </text>
    </comment>
    <comment ref="CS79" authorId="0" shapeId="0">
      <text>
        <r>
          <rPr>
            <b/>
            <sz val="9"/>
            <color indexed="81"/>
            <rFont val="Tahoma"/>
            <family val="2"/>
          </rPr>
          <t>Edwin Vega-Araya:</t>
        </r>
        <r>
          <rPr>
            <sz val="9"/>
            <color indexed="81"/>
            <rFont val="Tahoma"/>
            <family val="2"/>
          </rPr>
          <t xml:space="preserve">
La idea es usar eso para implementar el diseño que salga del apoyo de FAO</t>
        </r>
      </text>
    </comment>
    <comment ref="P80" authorId="0" shapeId="0">
      <text>
        <r>
          <rPr>
            <b/>
            <sz val="9"/>
            <color indexed="81"/>
            <rFont val="Tahoma"/>
            <family val="2"/>
          </rPr>
          <t>Edwin Vega-Araya:</t>
        </r>
        <r>
          <rPr>
            <sz val="9"/>
            <color indexed="81"/>
            <rFont val="Tahoma"/>
            <family val="2"/>
          </rPr>
          <t xml:space="preserve">
No se ha consultado con ella todavía, solo hay la propuesta de que sea IMN quien lidere Fase A, pero puede ser la misma coordinación de la Secretaría.</t>
        </r>
      </text>
    </comment>
    <comment ref="CS80" authorId="0" shapeId="0">
      <text>
        <r>
          <rPr>
            <b/>
            <sz val="9"/>
            <color indexed="81"/>
            <rFont val="Tahoma"/>
            <family val="2"/>
          </rPr>
          <t>Edwin Vega-Araya:</t>
        </r>
        <r>
          <rPr>
            <sz val="9"/>
            <color indexed="81"/>
            <rFont val="Tahoma"/>
            <family val="2"/>
          </rPr>
          <t xml:space="preserve">
Incluye el coordinador de MRV de la secretaría y el desarrollo del SM para Plantaciones forestales y SAF.  Entonces contempla fases A y C de la propuesta.</t>
        </r>
      </text>
    </comment>
    <comment ref="AH81" authorId="0" shapeId="0">
      <text>
        <r>
          <rPr>
            <b/>
            <sz val="9"/>
            <color indexed="81"/>
            <rFont val="Tahoma"/>
            <family val="2"/>
          </rPr>
          <t>Edwin Vega-Araya:</t>
        </r>
        <r>
          <rPr>
            <sz val="9"/>
            <color indexed="81"/>
            <rFont val="Tahoma"/>
            <family val="2"/>
          </rPr>
          <t xml:space="preserve">
El enfoque es monitoreo, pj actualmente con el proyecto MAPCOBIO con un componente de monitoreo participativo con cámaras trampa y se podría ampliar a indígenas.  La interpretación de datos implica pensar en la contratación de especialista puntual en algunos puntos en el tiempo.
Además otros componentes sería 1. la sistematización de lo que se ha hecho SINAC-INDÍGENAS y 2. la elaboración de planes de gestión comunitarios del manejo del bosque.</t>
        </r>
      </text>
    </comment>
    <comment ref="AI81" authorId="0" shapeId="0">
      <text>
        <r>
          <rPr>
            <b/>
            <sz val="9"/>
            <color indexed="81"/>
            <rFont val="Tahoma"/>
            <family val="2"/>
          </rPr>
          <t>Edwin Vega-Araya:</t>
        </r>
        <r>
          <rPr>
            <sz val="9"/>
            <color indexed="81"/>
            <rFont val="Tahoma"/>
            <family val="2"/>
          </rPr>
          <t xml:space="preserve">
Meta para 2017 es apenas diagnosticar qué ha hecho SINAC en el tema indígena.
Hay un proyecto del tema indígena con CONAGEBIO donde se definen las prioridades de la Est. De Biodiversidad en la parte de sistematización y gobernanza y elaboración de 2 planes de gestión.
</t>
        </r>
      </text>
    </comment>
    <comment ref="AJ81" authorId="0" shapeId="0">
      <text>
        <r>
          <rPr>
            <b/>
            <sz val="9"/>
            <color indexed="81"/>
            <rFont val="Tahoma"/>
            <family val="2"/>
          </rPr>
          <t>Edwin Vega-Araya:</t>
        </r>
        <r>
          <rPr>
            <sz val="9"/>
            <color indexed="81"/>
            <rFont val="Tahoma"/>
            <family val="2"/>
          </rPr>
          <t xml:space="preserve">
No se alcanza a desarrollar el modelo en el año en la situación actual, se estima avance de 25%.</t>
        </r>
      </text>
    </comment>
    <comment ref="AU81" authorId="4" shapeId="0">
      <text>
        <r>
          <rPr>
            <b/>
            <sz val="9"/>
            <color indexed="81"/>
            <rFont val="Tahoma"/>
            <family val="2"/>
          </rPr>
          <t>Magally Castro Alvarez:</t>
        </r>
        <r>
          <rPr>
            <sz val="9"/>
            <color indexed="81"/>
            <rFont val="Tahoma"/>
            <family val="2"/>
          </rPr>
          <t xml:space="preserve">
Se espera en este año capacitar al personal del SINAC, FONAFIFO Y CONAGEBIO en sistematización de experiencias, y crear capacidades para trabajo en territorios indigenas.  Asi como elaboración de dignóstico y sistematización de acciones desarrolladas por las instituciones mencionadas y los usos tradicionales de la biodiversidad y bosques que desarrollan los indigenas.
</t>
        </r>
        <r>
          <rPr>
            <b/>
            <sz val="9"/>
            <color indexed="81"/>
            <rFont val="Tahoma"/>
            <family val="2"/>
          </rPr>
          <t xml:space="preserve">Edwin Vega-Araya:
</t>
        </r>
        <r>
          <rPr>
            <sz val="9"/>
            <color indexed="81"/>
            <rFont val="Tahoma"/>
            <family val="2"/>
          </rPr>
          <t>La mejora es principalmente cualititativa entre un sistema de monitoreo sin REDD+ y otro con REDD+.</t>
        </r>
      </text>
    </comment>
    <comment ref="BI81" authorId="4" shapeId="0">
      <text>
        <r>
          <rPr>
            <b/>
            <sz val="9"/>
            <color indexed="81"/>
            <rFont val="Tahoma"/>
            <family val="2"/>
          </rPr>
          <t>Magally Castro Alvarez:</t>
        </r>
        <r>
          <rPr>
            <sz val="9"/>
            <color indexed="81"/>
            <rFont val="Tahoma"/>
            <family val="2"/>
          </rPr>
          <t xml:space="preserve">
Implica salario de 4 compañeros que han trabajado en el año con temas indigenas y contrapartida del proyecto MAPCOBIO por sistematización de un proyecto en un territorio indigena </t>
        </r>
      </text>
    </comment>
    <comment ref="BJ81" authorId="4" shapeId="0">
      <text>
        <r>
          <rPr>
            <b/>
            <sz val="9"/>
            <color indexed="81"/>
            <rFont val="Tahoma"/>
            <family val="2"/>
          </rPr>
          <t>Magally Castro Alvarez:</t>
        </r>
        <r>
          <rPr>
            <sz val="9"/>
            <color indexed="81"/>
            <rFont val="Tahoma"/>
            <family val="2"/>
          </rPr>
          <t xml:space="preserve">
En cada año se está incluyendo salarios y combustible de 4 funcionarios en 4 AC.  Que incluye acciones aisladas de gestión en territorios indigenas hacia la conservación y uso sostenible de la biodiversidad  (en muy pequeña escala)</t>
        </r>
      </text>
    </comment>
    <comment ref="BK81" authorId="4" shapeId="0">
      <text>
        <r>
          <rPr>
            <b/>
            <sz val="9"/>
            <color indexed="81"/>
            <rFont val="Tahoma"/>
            <family val="2"/>
          </rPr>
          <t>Magally Castro Alvarez:</t>
        </r>
        <r>
          <rPr>
            <sz val="9"/>
            <color indexed="81"/>
            <rFont val="Tahoma"/>
            <family val="2"/>
          </rPr>
          <t xml:space="preserve">
Incluye lo expuesto en el punto anterior (año 2017).  Más fondos para dos talleres con el objetivo de sistematizar lo que SINAC ha realizado en dos territorios indigenas.  Implica un proceso interno 
</t>
        </r>
      </text>
    </comment>
    <comment ref="BX81" authorId="4" shapeId="0">
      <text>
        <r>
          <rPr>
            <b/>
            <sz val="9"/>
            <color indexed="81"/>
            <rFont val="Tahoma"/>
            <family val="2"/>
          </rPr>
          <t>Magally Castro Alvarez:</t>
        </r>
        <r>
          <rPr>
            <sz val="9"/>
            <color indexed="81"/>
            <rFont val="Tahoma"/>
            <family val="2"/>
          </rPr>
          <t xml:space="preserve">
Incluye:
- 15.000.000 para capacitación del personal del SINAC, CONAGEBIO Y FONAFIFO para sistematizar experiencias en TI.  Además capacitar en herramientas para trabajo con territorios indigenas tales como (comunicación asertiva, resolución de conflictos, cultura y tradiciones indígenas, legislación entre otros).  Incluye elaboración e impresión de manual de capacitación. 
- 5.500.000 para sistematizar lo que ha hecho o dirigido el SINAC, FONAFICO Y CONAGEBIO en 8 territorios indigenas en los ultimos cinco años. (inlcuye el diagnóstico, talleres e impresión de documento final.
- 13.700.0000 para diagnóstico y sistematización de 8 territorios indigenas el uso tradicional  de la biodiversidad y del bosque (inlcuye impresión de documento final)</t>
        </r>
      </text>
    </comment>
    <comment ref="BY81" authorId="4"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4.700.000 para un modulo de capacitación a TI sobre (biodiversidad, cambios climático, GIRH, bosques, legislacion ambiental)
- 4.400.000 para conformar dos grupos de COVIRENAS y monitoreo
 participativo 
- 13.750.000 para definir y establecer un sistema de monitoreo participativo con camara trampa para 4 territorios indigenas 
- 8.625.000 para comprar camaras y demas equipo para el monitoreo para dos TI 
- 
</t>
        </r>
      </text>
    </comment>
    <comment ref="BZ81" authorId="4"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 analisis de datos y capacitar al SINAC para continuarlos </t>
        </r>
      </text>
    </comment>
    <comment ref="CA81" authorId="4"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- 11.0000.000 Analisis de datos y capacitar al 
personal del SINAC para continuarlos 
-22.000.000 presentar en la COP DE BIODIVERSIDAD el trabajo de CR con territorios infigenas</t>
        </r>
      </text>
    </comment>
    <comment ref="CC81" authorId="4" shapeId="0">
      <text>
        <r>
          <rPr>
            <b/>
            <sz val="9"/>
            <color indexed="81"/>
            <rFont val="Tahoma"/>
            <family val="2"/>
          </rPr>
          <t>Magally Castro Alvarez:</t>
        </r>
        <r>
          <rPr>
            <sz val="9"/>
            <color indexed="81"/>
            <rFont val="Tahoma"/>
            <family val="2"/>
          </rPr>
          <t xml:space="preserve">
Incluye: 
- 5.000.000 para elaborar un plan de manejo comunitario de usos tradicionales de la biodiversidad y bosques en un territorio indigena (modelo de gobernanza)
- 2.000.000 para conformar dos grupos de COVIRENAS y monitoreo
 participativo  
- 4.400.000 para comprar camaras y demas equipo para el monitoreo para dos TI. y 
</t>
        </r>
      </text>
    </comment>
    <comment ref="AH83" authorId="0" shapeId="0">
      <text>
        <r>
          <rPr>
            <b/>
            <sz val="9"/>
            <color indexed="81"/>
            <rFont val="Tahoma"/>
            <family val="2"/>
          </rPr>
          <t>Edwin Vega-Araya:</t>
        </r>
        <r>
          <rPr>
            <sz val="9"/>
            <color indexed="81"/>
            <rFont val="Tahoma"/>
            <family val="2"/>
          </rPr>
          <t xml:space="preserve">
OJO ESTÁ INCLUIDA ABAJO</t>
        </r>
      </text>
    </comment>
    <comment ref="BX83" authorId="0" shapeId="0">
      <text>
        <r>
          <rPr>
            <b/>
            <sz val="9"/>
            <color indexed="81"/>
            <rFont val="Tahoma"/>
            <family val="2"/>
          </rPr>
          <t>Edwin Vega-Araya:</t>
        </r>
        <r>
          <rPr>
            <sz val="9"/>
            <color indexed="81"/>
            <rFont val="Tahoma"/>
            <family val="2"/>
          </rPr>
          <t xml:space="preserve">
1/8 tiempo profesional en Ciencias sociales para MIRI a $4000/mes</t>
        </r>
      </text>
    </comment>
    <comment ref="AH84" authorId="0" shapeId="0">
      <text>
        <r>
          <rPr>
            <sz val="9"/>
            <color indexed="81"/>
            <rFont val="Tahoma"/>
            <family val="2"/>
          </rPr>
          <t>Ya se cuenta con la propuesta de SIS, se ocupa definir los indicadores finales a monitorear identificando si los mismos ya son generados por alguna institución, sino en caso contrario costo de generarlo e identificación del responsable.</t>
        </r>
      </text>
    </comment>
    <comment ref="BX84" authorId="0" shapeId="0">
      <text>
        <r>
          <rPr>
            <b/>
            <sz val="9"/>
            <color indexed="81"/>
            <rFont val="Tahoma"/>
            <family val="2"/>
          </rPr>
          <t>Edwin Vega-Araya:</t>
        </r>
        <r>
          <rPr>
            <sz val="9"/>
            <color indexed="81"/>
            <rFont val="Tahoma"/>
            <family val="2"/>
          </rPr>
          <t xml:space="preserve">
Por ahora se estima que ya los indicadores se generan en las instituciones por lo que se gastará 1/8 tiempo profesional en seguimiento e informes.</t>
        </r>
      </text>
    </comment>
    <comment ref="N88"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 ref="O88" authorId="4" shapeId="0">
      <text>
        <r>
          <rPr>
            <b/>
            <sz val="9"/>
            <color indexed="81"/>
            <rFont val="Tahoma"/>
            <family val="2"/>
          </rPr>
          <t>Magally Castro Alvarez:</t>
        </r>
        <r>
          <rPr>
            <sz val="9"/>
            <color indexed="81"/>
            <rFont val="Tahoma"/>
            <family val="2"/>
          </rPr>
          <t xml:space="preserve">
Se busca el empoderamiento de los consejos locales forestales y que sea ellos los que dirijan el tema, en compañía de los encargados de dichos consejos y de los encargados de educación ambiental</t>
        </r>
      </text>
    </comment>
    <comment ref="AH88" authorId="0" shapeId="0">
      <text>
        <r>
          <rPr>
            <b/>
            <sz val="9"/>
            <color indexed="81"/>
            <rFont val="Tahoma"/>
            <family val="2"/>
          </rPr>
          <t>Edwin Vega-Araya:</t>
        </r>
        <r>
          <rPr>
            <sz val="9"/>
            <color indexed="81"/>
            <rFont val="Tahoma"/>
            <family val="2"/>
          </rPr>
          <t xml:space="preserve">
Elaborados 7 planes de educación-comunicación en el Servicio Ecosistémico Bosque y ejecutado en un 100% al 2025</t>
        </r>
      </text>
    </comment>
    <comment ref="AI88" authorId="4" shapeId="0">
      <text>
        <r>
          <rPr>
            <b/>
            <sz val="9"/>
            <color indexed="81"/>
            <rFont val="Tahoma"/>
            <family val="2"/>
          </rPr>
          <t>Magally Castro Alvarez:</t>
        </r>
        <r>
          <rPr>
            <sz val="9"/>
            <color indexed="81"/>
            <rFont val="Tahoma"/>
            <family val="2"/>
          </rPr>
          <t xml:space="preserve">
Si bien la estrategia de EA del SINAC está vencida desde hace mas de cinco años, y no cuenta con un capitulo de bosques, en las 11 AC se llevan a cabo gran cantidad de acciones de EA cada año, de estas acciones un porcentaje son dirigidas a la conservación los bosques- Este 65% toma en cuenta los salarios del persona, combustible y viaticos del SINAC y algunos apoyos externos que los enlaces año con año consiguen para desarrollar acciones 
  Esto es visto desde el punto de vista economico pero en acciones en el tema especificamente las acciones son pocas sobre todo desde el eje de comunicación 
Pero se cuenta con una Fortaleza, personal en cada una de las AC, consejos locales, entre otros 
</t>
        </r>
      </text>
    </comment>
    <comment ref="AJ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K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L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M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N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O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P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Q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R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BX88" authorId="4" shapeId="0">
      <text>
        <r>
          <rPr>
            <b/>
            <sz val="9"/>
            <color indexed="81"/>
            <rFont val="Tahoma"/>
            <family val="2"/>
          </rPr>
          <t>Magally Castro Alvarez:</t>
        </r>
        <r>
          <rPr>
            <sz val="9"/>
            <color indexed="81"/>
            <rFont val="Tahoma"/>
            <family val="2"/>
          </rPr>
          <t xml:space="preserve">
Incluye: 
3 millones para incluir el tema en la estrategia nacional del EA
12 millones para hacer 3 planes de educación-comunicación para 2 AC con mayor influencia en el tema. 
7 millones para capacitación de comunicación para la conservación a personal y consejos locales forestales 
3 millones (1 por CL) para fortalecer 3 consejos locales forestales existentes en el sistema.</t>
        </r>
      </text>
    </comment>
    <comment ref="BY88" authorId="4" shapeId="0">
      <text>
        <r>
          <rPr>
            <b/>
            <sz val="9"/>
            <color indexed="81"/>
            <rFont val="Tahoma"/>
            <family val="2"/>
          </rPr>
          <t>Magally Castro Alvarez:</t>
        </r>
        <r>
          <rPr>
            <sz val="9"/>
            <color indexed="81"/>
            <rFont val="Tahoma"/>
            <family val="2"/>
          </rPr>
          <t xml:space="preserve">
Incluye: 
8 millones para hacer 2 planes de accion de educación - comunicaci-on. 
3 millones para conformar tres consejos locales forestales de AC  
7 millones para una capacitacion de educación-comunicacion a personal del SINAC y miembros de consejos locales. 
3.5 millones para ejecución de acciones de comunicación 
10 millones para 1 proyecto de reforetación o restauración desde los consejos locales. 
</t>
        </r>
      </text>
    </comment>
    <comment ref="BZ88" authorId="4" shapeId="0">
      <text>
        <r>
          <rPr>
            <b/>
            <sz val="9"/>
            <color indexed="81"/>
            <rFont val="Tahoma"/>
            <family val="2"/>
          </rPr>
          <t>Magally Castro Alvarez:</t>
        </r>
        <r>
          <rPr>
            <sz val="9"/>
            <color indexed="81"/>
            <rFont val="Tahoma"/>
            <family val="2"/>
          </rPr>
          <t xml:space="preserve">
Incluye: 
8 millones para hacer el plan de accion de educación comunicacioón en 2 AC,
7 millones para desarrollar acciones de educación - comunicación. 
10 millones para insentivar proyectos de reforestación  o restauración desde los consejos locales forestales. 
2 millones para acciones conjuntas con el MEP para incluir el tema en el curriculum. 
6 millones para un sistema de monitoreo de impacto de las acciones 
</t>
        </r>
      </text>
    </comment>
    <comment ref="CA88" authorId="4"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CB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C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D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E88" authorId="4"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CF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AY89" authorId="0" shapeId="0">
      <text>
        <r>
          <rPr>
            <b/>
            <sz val="9"/>
            <color indexed="81"/>
            <rFont val="Tahoma"/>
            <family val="2"/>
          </rPr>
          <t>Edwin Vega-Araya:</t>
        </r>
        <r>
          <rPr>
            <sz val="9"/>
            <color indexed="81"/>
            <rFont val="Tahoma"/>
            <family val="2"/>
          </rPr>
          <t xml:space="preserve">
Se publica el nuevo PNDF</t>
        </r>
      </text>
    </comment>
    <comment ref="BX89" authorId="0" shapeId="0">
      <text>
        <r>
          <rPr>
            <b/>
            <sz val="9"/>
            <color indexed="81"/>
            <rFont val="Tahoma"/>
            <family val="2"/>
          </rPr>
          <t>Edwin Vega-Araya:</t>
        </r>
        <r>
          <rPr>
            <sz val="9"/>
            <color indexed="81"/>
            <rFont val="Tahoma"/>
            <family val="2"/>
          </rPr>
          <t xml:space="preserve">
Ejecución en 3 años de $80,000 del Plan de Adquisiciones de apoyo a esta actividad</t>
        </r>
      </text>
    </comment>
    <comment ref="BX90" authorId="0" shapeId="0">
      <text>
        <r>
          <rPr>
            <b/>
            <sz val="9"/>
            <color indexed="81"/>
            <rFont val="Tahoma"/>
            <family val="2"/>
          </rPr>
          <t>Edwin Vega-Araya:</t>
        </r>
        <r>
          <rPr>
            <sz val="9"/>
            <color indexed="81"/>
            <rFont val="Tahoma"/>
            <family val="2"/>
          </rPr>
          <t xml:space="preserve">
Se estima que las actividades impliquen un gasto anual de $10.000</t>
        </r>
      </text>
    </comment>
    <comment ref="BX92" authorId="0" shapeId="0">
      <text>
        <r>
          <rPr>
            <b/>
            <sz val="9"/>
            <color indexed="81"/>
            <rFont val="Tahoma"/>
            <family val="2"/>
          </rPr>
          <t>Edwin Vega-Araya:</t>
        </r>
        <r>
          <rPr>
            <sz val="9"/>
            <color indexed="81"/>
            <rFont val="Tahoma"/>
            <family val="2"/>
          </rPr>
          <t xml:space="preserve">
No se estima costo pues se requiere una directriz del Ministro, más que en lobby político $1000/año</t>
        </r>
      </text>
    </comment>
    <comment ref="BX93" authorId="0" shapeId="0">
      <text>
        <r>
          <rPr>
            <b/>
            <sz val="9"/>
            <color indexed="81"/>
            <rFont val="Tahoma"/>
            <family val="2"/>
          </rPr>
          <t>Edwin Vega-Araya:</t>
        </r>
        <r>
          <rPr>
            <sz val="9"/>
            <color indexed="81"/>
            <rFont val="Tahoma"/>
            <family val="2"/>
          </rPr>
          <t xml:space="preserve">
4 profesionales 1b de 700.000/mes aproximadamente </t>
        </r>
      </text>
    </comment>
    <comment ref="BX94" authorId="0" shapeId="0">
      <text>
        <r>
          <rPr>
            <b/>
            <sz val="9"/>
            <color indexed="81"/>
            <rFont val="Tahoma"/>
            <family val="2"/>
          </rPr>
          <t>Edwin Vega-Araya:</t>
        </r>
        <r>
          <rPr>
            <sz val="9"/>
            <color indexed="81"/>
            <rFont val="Tahoma"/>
            <family val="2"/>
          </rPr>
          <t xml:space="preserve">
 1/2 tiempo para MGAS, a $4000/mes = $24.000</t>
        </r>
      </text>
    </comment>
    <comment ref="AH96" authorId="0" shapeId="0">
      <text>
        <r>
          <rPr>
            <b/>
            <sz val="9"/>
            <color indexed="81"/>
            <rFont val="Tahoma"/>
            <family val="2"/>
          </rPr>
          <t>Edwin Vega-Araya:</t>
        </r>
        <r>
          <rPr>
            <sz val="9"/>
            <color indexed="81"/>
            <rFont val="Tahoma"/>
            <family val="2"/>
          </rPr>
          <t xml:space="preserve">
El diseño ocurrió en 2016 con recursos de UN-REDD.  Lo que aquí se contempla es el costo de la implementación de algunas de las observaciones.</t>
        </r>
      </text>
    </comment>
    <comment ref="BX96" authorId="0" shapeId="0">
      <text>
        <r>
          <rPr>
            <b/>
            <sz val="9"/>
            <color indexed="81"/>
            <rFont val="Tahoma"/>
            <family val="2"/>
          </rPr>
          <t>Edwin Vega-Araya:</t>
        </r>
        <r>
          <rPr>
            <sz val="9"/>
            <color indexed="81"/>
            <rFont val="Tahoma"/>
            <family val="2"/>
          </rPr>
          <t xml:space="preserve">
Contempla viajes al exterior $20.000 entre viáticos y transporte + publicidad unos $10.000 + mesa negocios + contrato para desarrollar proyecto (20.000) = $55.000.  Se haría cada 2 años:en 2017, 2019 y 2021.  Estos últimos 2 años sería 15.000 (viajes) + 10.000 (publicidad) + 20.000 (contrato diseño proyectos)</t>
        </r>
      </text>
    </comment>
    <comment ref="BX98"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CH98"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B100" authorId="0" shapeId="0">
      <text>
        <r>
          <rPr>
            <b/>
            <sz val="9"/>
            <color indexed="81"/>
            <rFont val="Tahoma"/>
            <family val="2"/>
          </rPr>
          <t>Edwin Vega-Araya:</t>
        </r>
        <r>
          <rPr>
            <sz val="9"/>
            <color indexed="81"/>
            <rFont val="Tahoma"/>
            <family val="2"/>
          </rPr>
          <t xml:space="preserve">
Además no se incluyen algunas acciones del Plan de Adquisiciones de la segunda donación, </t>
        </r>
      </text>
    </comment>
    <comment ref="B101" authorId="0" shapeId="0">
      <text>
        <r>
          <rPr>
            <b/>
            <sz val="9"/>
            <color indexed="81"/>
            <rFont val="Tahoma"/>
            <family val="2"/>
          </rPr>
          <t>Edwin Vega-Araya:</t>
        </r>
        <r>
          <rPr>
            <sz val="9"/>
            <color indexed="81"/>
            <rFont val="Tahoma"/>
            <family val="2"/>
          </rPr>
          <t xml:space="preserve">
Es más bien el posible instrumento para operacionalizar el MDB</t>
        </r>
      </text>
    </comment>
    <comment ref="B102" authorId="0" shapeId="0">
      <text>
        <r>
          <rPr>
            <b/>
            <sz val="9"/>
            <color indexed="81"/>
            <rFont val="Tahoma"/>
            <family val="2"/>
          </rPr>
          <t>Edwin Vega-Araya:</t>
        </r>
        <r>
          <rPr>
            <sz val="9"/>
            <color indexed="81"/>
            <rFont val="Tahoma"/>
            <family val="2"/>
          </rPr>
          <t xml:space="preserve">
Ya está en otras acciones y que desembocan en decreto.  Estos instrumentos (PNDFy ENB) ya los tienen.</t>
        </r>
      </text>
    </comment>
  </commentList>
</comments>
</file>

<file path=xl/comments4.xml><?xml version="1.0" encoding="utf-8"?>
<comments xmlns="http://schemas.openxmlformats.org/spreadsheetml/2006/main">
  <authors>
    <author>Edwin Vega-Araya</author>
    <author>Carlos Varela Jimenez</author>
    <author>José Joaquin Calvo Domingo</author>
    <author>Magally Castro Alvarez</author>
    <author>Vega_Araya Edwin_Eduardo</author>
  </authors>
  <commentList>
    <comment ref="AQ3" authorId="0" shapeId="0">
      <text>
        <r>
          <rPr>
            <b/>
            <sz val="9"/>
            <color indexed="81"/>
            <rFont val="Tahoma"/>
            <family val="2"/>
          </rPr>
          <t>Edwin Vega-Araya:</t>
        </r>
        <r>
          <rPr>
            <sz val="9"/>
            <color indexed="81"/>
            <rFont val="Tahoma"/>
            <family val="2"/>
          </rPr>
          <t xml:space="preserve">
Identificar en la fórmula en el Archivo Plan de Implementación V7 las actividades de "Plan Adq FPrep2" que integran cada monto.</t>
        </r>
      </text>
    </comment>
    <comment ref="AR3" authorId="0" shapeId="0">
      <text>
        <r>
          <rPr>
            <b/>
            <sz val="9"/>
            <color indexed="81"/>
            <rFont val="Tahoma"/>
            <family val="2"/>
          </rPr>
          <t xml:space="preserve">Edwin Vega-Araya: </t>
        </r>
        <r>
          <rPr>
            <sz val="9"/>
            <color indexed="81"/>
            <rFont val="Tahoma"/>
            <family val="2"/>
          </rPr>
          <t xml:space="preserve">Revisar en el Plan de Adquisiciones la distribución entre 2016, 2017 y 2018 de estos fondos.
</t>
        </r>
      </text>
    </comment>
    <comment ref="E6"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E8"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I8" authorId="0" shapeId="0">
      <text>
        <r>
          <rPr>
            <b/>
            <sz val="9"/>
            <color indexed="81"/>
            <rFont val="Tahoma"/>
            <family val="2"/>
          </rPr>
          <t>Edwin Vega-Araya:</t>
        </r>
        <r>
          <rPr>
            <sz val="9"/>
            <color indexed="81"/>
            <rFont val="Tahoma"/>
            <family val="2"/>
          </rPr>
          <t xml:space="preserve">
costo por capacitación es aproximado según la Gerencia de Participación Ciudadana y Gobernanza (300,000 colones)</t>
        </r>
      </text>
    </comment>
    <comment ref="E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I9" authorId="0" shapeId="0">
      <text>
        <r>
          <rPr>
            <b/>
            <sz val="9"/>
            <color indexed="81"/>
            <rFont val="Tahoma"/>
            <family val="2"/>
          </rPr>
          <t>Edwin Vega-Araya:</t>
        </r>
        <r>
          <rPr>
            <sz val="9"/>
            <color indexed="81"/>
            <rFont val="Tahoma"/>
            <family val="2"/>
          </rPr>
          <t xml:space="preserve">
Los costos sin y con REDD+ son iguales corresponden a la operación del departamento.  Zoila pasó el dato el 15/11/2016 por email.   Se agrega el aporte en la situación Con REDD+ de los aportes de la Preparación de la Segunda donación.</t>
        </r>
      </text>
    </comment>
    <comment ref="W9"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X9"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E12"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I12" authorId="0" shapeId="0">
      <text>
        <r>
          <rPr>
            <b/>
            <sz val="9"/>
            <color indexed="81"/>
            <rFont val="Tahoma"/>
            <family val="2"/>
          </rPr>
          <t>Edwin Vega-Araya:</t>
        </r>
        <r>
          <rPr>
            <sz val="9"/>
            <color indexed="81"/>
            <rFont val="Tahoma"/>
            <family val="2"/>
          </rPr>
          <t xml:space="preserve">
Es una actividad nueva por lo que no lleva "Sin REDD+"</t>
        </r>
      </text>
    </comment>
    <comment ref="W12" authorId="0" shapeId="0">
      <text>
        <r>
          <rPr>
            <b/>
            <sz val="9"/>
            <color indexed="81"/>
            <rFont val="Tahoma"/>
            <family val="2"/>
          </rPr>
          <t>Edwin Vega-Araya:</t>
        </r>
        <r>
          <rPr>
            <sz val="9"/>
            <color indexed="81"/>
            <rFont val="Tahoma"/>
            <family val="2"/>
          </rPr>
          <t xml:space="preserve">
Consiste en una consultoría + un sistema de información digital en línea con el Sistema Nacional de Métrica que desarrolle la DCC.
Consultoría de un equipo que haga las dos cosas un año de duración $120,000.  La consultoría para el mecanismo de compensación que lleva parámetros similares está valorada en ese monto.</t>
        </r>
      </text>
    </comment>
    <comment ref="E14"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Directriz ministerial con lo del Programa de Bosques y Desarrollo Rural).  Serían profesionales.</t>
        </r>
      </text>
    </comment>
    <comment ref="J14" authorId="0" shapeId="0">
      <text>
        <r>
          <rPr>
            <b/>
            <sz val="9"/>
            <color indexed="81"/>
            <rFont val="Tahoma"/>
            <family val="2"/>
          </rPr>
          <t>Edwin Vega-Araya:</t>
        </r>
        <r>
          <rPr>
            <sz val="9"/>
            <color indexed="81"/>
            <rFont val="Tahoma"/>
            <family val="2"/>
          </rPr>
          <t xml:space="preserve">
Se supone un incremento anual en costos del 5%</t>
        </r>
      </text>
    </comment>
    <comment ref="X14" authorId="0" shapeId="0">
      <text>
        <r>
          <rPr>
            <b/>
            <sz val="9"/>
            <color indexed="81"/>
            <rFont val="Tahoma"/>
            <family val="2"/>
          </rPr>
          <t>Edwin Vega-Araya:</t>
        </r>
        <r>
          <rPr>
            <sz val="9"/>
            <color indexed="81"/>
            <rFont val="Tahoma"/>
            <family val="2"/>
          </rPr>
          <t xml:space="preserve">
Se supone un incremento anual en costos del 5%</t>
        </r>
      </text>
    </comment>
    <comment ref="E15"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X15" authorId="0" shapeId="0">
      <text>
        <r>
          <rPr>
            <b/>
            <sz val="9"/>
            <color indexed="81"/>
            <rFont val="Tahoma"/>
            <family val="2"/>
          </rPr>
          <t>Edwin Vega-Araya:</t>
        </r>
        <r>
          <rPr>
            <sz val="9"/>
            <color indexed="81"/>
            <rFont val="Tahoma"/>
            <family val="2"/>
          </rPr>
          <t xml:space="preserve">
Se acumulan los del año anterior con los nuevos</t>
        </r>
      </text>
    </comment>
    <comment ref="E17"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C18" authorId="0" shapeId="0">
      <text>
        <r>
          <rPr>
            <b/>
            <sz val="9"/>
            <color indexed="81"/>
            <rFont val="Tahoma"/>
            <family val="2"/>
          </rPr>
          <t>Edwin Vega-Araya:</t>
        </r>
        <r>
          <rPr>
            <sz val="9"/>
            <color indexed="81"/>
            <rFont val="Tahoma"/>
            <family val="2"/>
          </rPr>
          <t xml:space="preserve">
Faltaría agregar el costo de seguimiento que es la pesona que va metiendo la información y el soporte informático donde va a estar que esté sostenido y no se caiga (Servidor y capacidad del servidor). Consultar a María Isabel. Con el Plan de Adquisiciones se hace la inversión, pero la operación (seguimiento o monitoreo) falta de incluirlo.  Actualmente la institución le paga a ADDAX.</t>
        </r>
      </text>
    </comment>
    <comment ref="E18"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H18" authorId="0" shapeId="0">
      <text>
        <r>
          <rPr>
            <b/>
            <sz val="9"/>
            <color indexed="81"/>
            <rFont val="Tahoma"/>
            <family val="2"/>
          </rPr>
          <t>Edwin Vega-Araya:</t>
        </r>
        <r>
          <rPr>
            <sz val="9"/>
            <color indexed="81"/>
            <rFont val="Tahoma"/>
            <family val="2"/>
          </rPr>
          <t xml:space="preserve">
Supuestos:
un promedio de (1 profesional medio tiempo + 1 técnico tiempo completo + funcionarios de control a 1/2 tiempo) por oficina subregional y son 33 oficinas.
Salario del profesionas = 1.2
00.000
Salario del técnico = 800.000
Salario del funcionario del control=600.000
Gasto mensual 8 viáticos el técnico, 12 los de control, a 5.150 el viático.
Equipo: gasolina: 12x5000 + equipo 10.000/mes.</t>
        </r>
      </text>
    </comment>
    <comment ref="W18" authorId="0" shapeId="0">
      <text>
        <r>
          <rPr>
            <b/>
            <sz val="9"/>
            <color indexed="81"/>
            <rFont val="Tahoma"/>
            <family val="2"/>
          </rPr>
          <t>Edwin Vega-Araya:</t>
        </r>
        <r>
          <rPr>
            <sz val="9"/>
            <color indexed="81"/>
            <rFont val="Tahoma"/>
            <family val="2"/>
          </rPr>
          <t xml:space="preserve">
Supuestos:
un promedio de (1 profesional medio tiempo + 1 técnico tiempo completo Y OTRO A MEDIO TIEMPO + 2 funcionarios de control a TIEMPO COMPLETO ) por oficina subregional y son 33 oficinas.
Salario del profesionas = 1.200.000
Salario del técnico = 800.000
Salario del funcionario del control=600.000
Gasto mensual 12 viáticos el técnico, 24 los de control, a 5.150 el viático.
Equipo: gasolina: 24x5000 + equipo 15.000/mes.</t>
        </r>
      </text>
    </comment>
    <comment ref="E20"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W20" authorId="0" shapeId="0">
      <text>
        <r>
          <rPr>
            <b/>
            <sz val="9"/>
            <color indexed="81"/>
            <rFont val="Tahoma"/>
            <family val="2"/>
          </rPr>
          <t>Edwin Vega-Araya:</t>
        </r>
        <r>
          <rPr>
            <sz val="9"/>
            <color indexed="81"/>
            <rFont val="Tahoma"/>
            <family val="2"/>
          </rPr>
          <t xml:space="preserve">
El costo de cada estudio se estima equivalente a una consultoría de U$24,000</t>
        </r>
      </text>
    </comment>
    <comment ref="E22" authorId="0" shapeId="0">
      <text>
        <r>
          <rPr>
            <b/>
            <sz val="9"/>
            <color indexed="81"/>
            <rFont val="Tahoma"/>
            <family val="2"/>
          </rPr>
          <t>Edwin Vega-Araya:</t>
        </r>
        <r>
          <rPr>
            <sz val="9"/>
            <color indexed="81"/>
            <rFont val="Tahoma"/>
            <family val="2"/>
          </rPr>
          <t xml:space="preserve">
Promovido por PNUD</t>
        </r>
      </text>
    </comment>
    <comment ref="E24"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I24" authorId="0" shapeId="0">
      <text>
        <r>
          <rPr>
            <b/>
            <sz val="9"/>
            <color indexed="81"/>
            <rFont val="Tahoma"/>
            <family val="2"/>
          </rPr>
          <t>Edwin Vega-Araya:</t>
        </r>
        <r>
          <rPr>
            <sz val="9"/>
            <color indexed="81"/>
            <rFont val="Tahoma"/>
            <family val="2"/>
          </rPr>
          <t xml:space="preserve">
Se estima el costo de incorporar una finca adicional al PPN como el tiempo horas técnico y profesional dedicados a visitas y asistencia técnica al finquero para el convencimiento y desarrollo de actividades. Un profesional y un técnico que hagan 6 visitas de campo de 1 hora cada visita.  Una visita cuesta 7,000 (hora del profesional) + 5,000 (hora del técnico) + 5,000 (combustible) + 4,000 (media de viáticos) = 21,000.  Por lo tanto 6 visitas cuestan = 126,000 colones.</t>
        </r>
      </text>
    </comment>
    <comment ref="H27" authorId="0" shapeId="0">
      <text>
        <r>
          <rPr>
            <b/>
            <sz val="9"/>
            <color indexed="81"/>
            <rFont val="Tahoma"/>
            <family val="2"/>
          </rPr>
          <t>Edwin Vega-Araya:</t>
        </r>
        <r>
          <rPr>
            <sz val="9"/>
            <color indexed="81"/>
            <rFont val="Tahoma"/>
            <family val="2"/>
          </rPr>
          <t xml:space="preserve">
Es un costo de campaña para las condiciones básicas.</t>
        </r>
      </text>
    </comment>
    <comment ref="E28"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H28" authorId="0" shapeId="0">
      <text>
        <r>
          <rPr>
            <b/>
            <sz val="9"/>
            <color indexed="81"/>
            <rFont val="Tahoma"/>
            <family val="2"/>
          </rPr>
          <t>Edwin Vega-Araya:</t>
        </r>
        <r>
          <rPr>
            <sz val="9"/>
            <color indexed="81"/>
            <rFont val="Tahoma"/>
            <family val="2"/>
          </rPr>
          <t xml:space="preserve">
Capacitación +- 150000 por persona
Seguimiento (una visita mensual) +- 15150 * 12 = 181.800
Equipamiento (a cada persona) 180.000 en el primer año del equipo completo + en los siguientes años hay que dar adicionales 68.000 cada tres años. 
Tenemos actualmente 300 bomberos forestales equipados bien.  Se quiere llegar a 1000 con el seguimiento.  Sin REDD solo se alcanzaría 700.</t>
        </r>
      </text>
    </comment>
    <comment ref="I28" authorId="0" shapeId="0">
      <text>
        <r>
          <rPr>
            <b/>
            <sz val="9"/>
            <color indexed="81"/>
            <rFont val="Tahoma"/>
            <family val="2"/>
          </rPr>
          <t>Edwin Vega-Araya:</t>
        </r>
        <r>
          <rPr>
            <sz val="9"/>
            <color indexed="81"/>
            <rFont val="Tahoma"/>
            <family val="2"/>
          </rPr>
          <t xml:space="preserve">
Los 15.000.000 de capacitación es por capacitar 200 personas por año a un costo de 75.000 por persona.</t>
        </r>
      </text>
    </comment>
    <comment ref="W28" authorId="0" shapeId="0">
      <text>
        <r>
          <rPr>
            <b/>
            <sz val="9"/>
            <color indexed="81"/>
            <rFont val="Tahoma"/>
            <family val="2"/>
          </rPr>
          <t>Edwin Vega-Araya:</t>
        </r>
        <r>
          <rPr>
            <sz val="9"/>
            <color indexed="81"/>
            <rFont val="Tahoma"/>
            <family val="2"/>
          </rPr>
          <t xml:space="preserve">
En este caso el seguimiento incluye además la capacitación de 500 personas por año a un costo de 75.000 por persona = 37.500.000 de capacitación.
</t>
        </r>
      </text>
    </comment>
    <comment ref="E31"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E34"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U34" authorId="1" shapeId="0">
      <text>
        <r>
          <rPr>
            <b/>
            <sz val="9"/>
            <color indexed="81"/>
            <rFont val="Tahoma"/>
            <family val="2"/>
          </rPr>
          <t>Carlos Varela Jimenez:</t>
        </r>
        <r>
          <rPr>
            <sz val="9"/>
            <color indexed="81"/>
            <rFont val="Tahoma"/>
            <family val="2"/>
          </rPr>
          <t xml:space="preserve">
Se financia con pagos de la regencia más otros recursos del CIAgro</t>
        </r>
      </text>
    </comment>
    <comment ref="E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E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E40" authorId="0" shapeId="0">
      <text>
        <r>
          <rPr>
            <b/>
            <sz val="9"/>
            <color indexed="81"/>
            <rFont val="Tahoma"/>
            <family val="2"/>
          </rPr>
          <t>Edwin Vega-Araya:</t>
        </r>
        <r>
          <rPr>
            <sz val="9"/>
            <color indexed="81"/>
            <rFont val="Tahoma"/>
            <family val="2"/>
          </rPr>
          <t xml:space="preserve">
En PAAs de EV</t>
        </r>
      </text>
    </comment>
    <comment ref="I43" authorId="2" shapeId="0">
      <text>
        <r>
          <rPr>
            <b/>
            <sz val="9"/>
            <color indexed="81"/>
            <rFont val="Tahoma"/>
            <family val="2"/>
          </rPr>
          <t>José Joaquin Calvo Domingo:</t>
        </r>
        <r>
          <rPr>
            <sz val="9"/>
            <color indexed="81"/>
            <rFont val="Tahoma"/>
            <family val="2"/>
          </rPr>
          <t xml:space="preserve">
Este año se realizaron 6 planaes de manejo con financiamiento externo, mas  o menos se pueden hacer un promedio de 3 al año tambien con fondos externos, el costo de cada actualoizcion anda cerca de los 15,000 dolares.</t>
        </r>
      </text>
    </comment>
    <comment ref="I44"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U44" authorId="0" shapeId="0">
      <text>
        <r>
          <rPr>
            <b/>
            <sz val="9"/>
            <color indexed="81"/>
            <rFont val="Tahoma"/>
            <family val="2"/>
          </rPr>
          <t>Edwin Vega-Araya:</t>
        </r>
        <r>
          <rPr>
            <sz val="9"/>
            <color indexed="81"/>
            <rFont val="Tahoma"/>
            <family val="2"/>
          </rPr>
          <t xml:space="preserve">
La academia y otros se autofinancian, pero no tienen capacidad de nuevas parcelas.</t>
        </r>
      </text>
    </comment>
    <comment ref="W44"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X44" authorId="0" shapeId="0">
      <text>
        <r>
          <rPr>
            <b/>
            <sz val="9"/>
            <color indexed="81"/>
            <rFont val="Tahoma"/>
            <family val="2"/>
          </rPr>
          <t>Edwin Vega-Araya:</t>
        </r>
        <r>
          <rPr>
            <sz val="9"/>
            <color indexed="81"/>
            <rFont val="Tahoma"/>
            <family val="2"/>
          </rPr>
          <t xml:space="preserve">
5 parcelas en 2017 y 15 en 2018, luego las mediciones y ya para 2020 decreto</t>
        </r>
      </text>
    </comment>
    <comment ref="Y44" authorId="0" shapeId="0">
      <text>
        <r>
          <rPr>
            <b/>
            <sz val="9"/>
            <color indexed="81"/>
            <rFont val="Tahoma"/>
            <family val="2"/>
          </rPr>
          <t>Edwin Vega-Araya:</t>
        </r>
        <r>
          <rPr>
            <sz val="9"/>
            <color indexed="81"/>
            <rFont val="Tahoma"/>
            <family val="2"/>
          </rPr>
          <t xml:space="preserve">
El estudio de los datos y propuesta y validación de nuevos criterios se estima en equivalente a consultoría de $20,000</t>
        </r>
      </text>
    </comment>
    <comment ref="E45"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I45"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t>
        </r>
      </text>
    </comment>
    <comment ref="W45"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
Además incluye $10,000 de publicidad del decreto durante 2 años solamente.</t>
        </r>
      </text>
    </comment>
    <comment ref="E47"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I47" authorId="0" shapeId="0">
      <text>
        <r>
          <rPr>
            <b/>
            <sz val="9"/>
            <color indexed="81"/>
            <rFont val="Tahoma"/>
            <family val="2"/>
          </rPr>
          <t>Edwin Vega-Araya:</t>
        </r>
        <r>
          <rPr>
            <sz val="9"/>
            <color indexed="81"/>
            <rFont val="Tahoma"/>
            <family val="2"/>
          </rPr>
          <t xml:space="preserve">
Financiación de MACOBIO para incorporar los indicadores de Evaluación del PPSA al SINIA</t>
        </r>
      </text>
    </comment>
    <comment ref="Z47" authorId="0" shapeId="0">
      <text>
        <r>
          <rPr>
            <b/>
            <sz val="9"/>
            <color indexed="81"/>
            <rFont val="Tahoma"/>
            <family val="2"/>
          </rPr>
          <t>Edwin Vega-Araya:</t>
        </r>
        <r>
          <rPr>
            <sz val="9"/>
            <color indexed="81"/>
            <rFont val="Tahoma"/>
            <family val="2"/>
          </rPr>
          <t xml:space="preserve">
REDD+ puede financiar el estudio del estudio de los indicadores dentro de 5 años comparados con los de ahora y definir posibles cambios a los criterios.  REDD+ podría ayudar en analizar el ajuste del sistema para los indicadodres del PSA, de más menos $10.000.</t>
        </r>
      </text>
    </comment>
    <comment ref="H49" authorId="3" shapeId="0">
      <text>
        <r>
          <rPr>
            <b/>
            <sz val="9"/>
            <color indexed="81"/>
            <rFont val="Tahoma"/>
            <family val="2"/>
          </rPr>
          <t>Magally Castro Alvarez:</t>
        </r>
        <r>
          <rPr>
            <sz val="9"/>
            <color indexed="81"/>
            <rFont val="Tahoma"/>
            <family val="2"/>
          </rPr>
          <t xml:space="preserve">
Este es un calculo de los que se hizo en el 2015 que fue el año que se realizo el manual de capacitación y se aplico a algunos OC.</t>
        </r>
      </text>
    </comment>
    <comment ref="I49" authorId="3" shapeId="0">
      <text>
        <r>
          <rPr>
            <b/>
            <sz val="9"/>
            <color indexed="81"/>
            <rFont val="Tahoma"/>
            <family val="2"/>
          </rPr>
          <t>Magally Castro Alvarez:</t>
        </r>
        <r>
          <rPr>
            <sz val="9"/>
            <color indexed="81"/>
            <rFont val="Tahoma"/>
            <family val="2"/>
          </rPr>
          <t xml:space="preserve">
Esto inlcuye fondos SINAC y alguna contrapartida del proyecto MAPCOBIO  y de CB para fortalecer el tema.</t>
        </r>
      </text>
    </comment>
    <comment ref="J49" authorId="3" shapeId="0">
      <text>
        <r>
          <rPr>
            <b/>
            <sz val="9"/>
            <color indexed="81"/>
            <rFont val="Tahoma"/>
            <family val="2"/>
          </rPr>
          <t>Magally Castro Alvarez:</t>
        </r>
        <r>
          <rPr>
            <sz val="9"/>
            <color indexed="81"/>
            <rFont val="Tahoma"/>
            <family val="2"/>
          </rPr>
          <t xml:space="preserve">
Fondos SINAC para acciones exporadicas de los consejos locales. Alimentacion para reunions mensuales, entre otros.  Para su funcionamiento pero no para su fortalecimiento.</t>
        </r>
      </text>
    </comment>
    <comment ref="W49" authorId="3" shapeId="0">
      <text>
        <r>
          <rPr>
            <b/>
            <sz val="9"/>
            <color indexed="81"/>
            <rFont val="Tahoma"/>
            <family val="2"/>
          </rPr>
          <t>Magally Castro Alvarez:</t>
        </r>
        <r>
          <rPr>
            <sz val="9"/>
            <color indexed="81"/>
            <rFont val="Tahoma"/>
            <family val="2"/>
          </rPr>
          <t xml:space="preserve">
Alvarez:
Incluye:
Actualizar el manual 
Capacitar a un % de los OC </t>
        </r>
      </text>
    </comment>
    <comment ref="X49" authorId="3" shapeId="0">
      <text>
        <r>
          <rPr>
            <b/>
            <sz val="9"/>
            <color indexed="81"/>
            <rFont val="Tahoma"/>
            <family val="2"/>
          </rPr>
          <t>Magally Castro Alvarez:</t>
        </r>
        <r>
          <rPr>
            <sz val="9"/>
            <color indexed="81"/>
            <rFont val="Tahoma"/>
            <family val="2"/>
          </rPr>
          <t xml:space="preserve">
Incluye:
Capacitar a un % de los OC 
1 Encuentro de CORAC</t>
        </r>
      </text>
    </comment>
    <comment ref="Y49" authorId="3"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Z49" authorId="3"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E51"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W51" authorId="0" shapeId="0">
      <text>
        <r>
          <rPr>
            <b/>
            <sz val="9"/>
            <color indexed="81"/>
            <rFont val="Tahoma"/>
            <family val="2"/>
          </rPr>
          <t>Edwin Vega-Araya:</t>
        </r>
        <r>
          <rPr>
            <sz val="9"/>
            <color indexed="81"/>
            <rFont val="Tahoma"/>
            <family val="2"/>
          </rPr>
          <t xml:space="preserve">
Costo por evento de capacitación 300,000 colones </t>
        </r>
      </text>
    </comment>
    <comment ref="J53" authorId="0" shapeId="0">
      <text>
        <r>
          <rPr>
            <b/>
            <sz val="9"/>
            <color indexed="81"/>
            <rFont val="Tahoma"/>
            <family val="2"/>
          </rPr>
          <t>Edwin Vega-Araya:</t>
        </r>
        <r>
          <rPr>
            <sz val="9"/>
            <color indexed="81"/>
            <rFont val="Tahoma"/>
            <family val="2"/>
          </rPr>
          <t xml:space="preserve">
Se valoran acciones aisladas relacionadas y no articuladas en una estrategia.</t>
        </r>
      </text>
    </comment>
    <comment ref="W53" authorId="3" shapeId="0">
      <text>
        <r>
          <rPr>
            <b/>
            <sz val="9"/>
            <color indexed="81"/>
            <rFont val="Tahoma"/>
            <family val="2"/>
          </rPr>
          <t>Magally Castro Alvarez:</t>
        </r>
        <r>
          <rPr>
            <sz val="9"/>
            <color indexed="81"/>
            <rFont val="Tahoma"/>
            <family val="2"/>
          </rPr>
          <t xml:space="preserve">
Incluye la contratación de una estategia de defina alternativas de como llegar a los actores privados en ASP desde los consejos locales de CB</t>
        </r>
      </text>
    </comment>
    <comment ref="X53" authorId="3" shapeId="0">
      <text>
        <r>
          <rPr>
            <b/>
            <sz val="9"/>
            <color indexed="81"/>
            <rFont val="Tahoma"/>
            <family val="2"/>
          </rPr>
          <t>Magally Castro Alvarez:</t>
        </r>
        <r>
          <rPr>
            <sz val="9"/>
            <color indexed="81"/>
            <rFont val="Tahoma"/>
            <family val="2"/>
          </rPr>
          <t xml:space="preserve">
Inclye capacitacion a todos los CL para ejecutar la estrategia 
5 CB sensibilizan a los actores privado en sobre PSA y REDD (materiales, charlas, capacitación)</t>
        </r>
      </text>
    </comment>
    <comment ref="Y53" authorId="3" shapeId="0">
      <text>
        <r>
          <rPr>
            <b/>
            <sz val="9"/>
            <color indexed="81"/>
            <rFont val="Tahoma"/>
            <family val="2"/>
          </rPr>
          <t>Magally Castro Alvarez:</t>
        </r>
        <r>
          <rPr>
            <sz val="9"/>
            <color indexed="81"/>
            <rFont val="Tahoma"/>
            <family val="2"/>
          </rPr>
          <t xml:space="preserve">
Incluye trabajos varios para promover acuerdos, sensiblización, charlas, materiales, videos y otros por medio de los cuales los CL de los CB promueven el PSA y REDD</t>
        </r>
      </text>
    </comment>
    <comment ref="D58" authorId="0" shapeId="0">
      <text>
        <r>
          <rPr>
            <b/>
            <sz val="9"/>
            <color indexed="81"/>
            <rFont val="Tahoma"/>
            <family val="2"/>
          </rPr>
          <t>Edwin Vega-Araya:</t>
        </r>
        <r>
          <rPr>
            <sz val="9"/>
            <color indexed="81"/>
            <rFont val="Tahoma"/>
            <family val="2"/>
          </rPr>
          <t xml:space="preserve">
SONIA, DOCUMENTO DE MARLEN, QUE LA SOCIEDAD SEPA QUE HAY ORDENAMIENTO TERRRITORIAL.  Ella hizo un mapa de zonificación.</t>
        </r>
      </text>
    </comment>
    <comment ref="E58"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I58"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W58"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E61"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I61" authorId="0" shapeId="0">
      <text>
        <r>
          <rPr>
            <b/>
            <sz val="9"/>
            <color indexed="81"/>
            <rFont val="Tahoma"/>
            <family val="2"/>
          </rPr>
          <t>Edwin Vega-Araya:</t>
        </r>
        <r>
          <rPr>
            <sz val="9"/>
            <color indexed="81"/>
            <rFont val="Tahoma"/>
            <family val="2"/>
          </rPr>
          <t xml:space="preserve">
MANO DE OBRA ESTATAL:
Actualmente SINAC tiene 2 profesionales tiempo completo en CADETI (1200000*2*13 = 31,200,000). 
+ en el MAG hay 2 profesionales tiempo completo (31,200,000) 
+ 3 del INTA de 1/4 de tiempo que dedican (1200000*3*13/4 = 11,700,000) 
+ 5 del MAG en el campo que hacen los planes de finca y los proyectos (1/2 tiempo del proyecto con sus viáticos correspondientes: 750,000*5*13/2 = 24,375,000)
TOTAL = 98,475,000 colones.
FONDOS DISPONIBLES PARA FINCAS: 
$2,600,000 - 30% del 2017 al 2019 
$650,000 - 30% del 2020 al 2025</t>
        </r>
      </text>
    </comment>
    <comment ref="W61" authorId="0" shapeId="0">
      <text>
        <r>
          <rPr>
            <b/>
            <sz val="9"/>
            <color indexed="81"/>
            <rFont val="Tahoma"/>
            <family val="2"/>
          </rPr>
          <t>Edwin Vega-Araya:</t>
        </r>
        <r>
          <rPr>
            <sz val="9"/>
            <color indexed="81"/>
            <rFont val="Tahoma"/>
            <family val="2"/>
          </rPr>
          <t xml:space="preserve">
El personal más o menos sería el mismo para operar el proyecto.  La parte importante sería el dinero adicional para los años en que no se cuenta financiamiento.  Tal vez algo de reforzar extensión propiamente en SINAC pues se ha perdido.</t>
        </r>
      </text>
    </comment>
    <comment ref="Z61" authorId="0" shapeId="0">
      <text>
        <r>
          <rPr>
            <b/>
            <sz val="9"/>
            <color indexed="81"/>
            <rFont val="Tahoma"/>
            <family val="2"/>
          </rPr>
          <t>Edwin Vega-Araya:</t>
        </r>
        <r>
          <rPr>
            <sz val="9"/>
            <color indexed="81"/>
            <rFont val="Tahoma"/>
            <family val="2"/>
          </rPr>
          <t xml:space="preserve">
Se aportarían $2,000,000 durante 3 años.</t>
        </r>
      </text>
    </comment>
    <comment ref="AC61" authorId="0" shapeId="0">
      <text>
        <r>
          <rPr>
            <b/>
            <sz val="9"/>
            <color indexed="81"/>
            <rFont val="Tahoma"/>
            <family val="2"/>
          </rPr>
          <t>Edwin Vega-Araya:</t>
        </r>
        <r>
          <rPr>
            <sz val="9"/>
            <color indexed="81"/>
            <rFont val="Tahoma"/>
            <family val="2"/>
          </rPr>
          <t xml:space="preserve">
Se aportarían $2,000,000 durante 3 años.</t>
        </r>
      </text>
    </comment>
    <comment ref="W62" authorId="0" shapeId="0">
      <text>
        <r>
          <rPr>
            <b/>
            <sz val="9"/>
            <color indexed="81"/>
            <rFont val="Tahoma"/>
            <family val="2"/>
          </rPr>
          <t>Edwin Vega-Araya:</t>
        </r>
        <r>
          <rPr>
            <sz val="9"/>
            <color indexed="81"/>
            <rFont val="Tahoma"/>
            <family val="2"/>
          </rPr>
          <t xml:space="preserve">
Se estima desarrollar con fondos de la Preparación (plan de adquisiciones) dentro del contrato del Apoyo Social de la Secretaría. (1/4 del tiempo del consultor en ese año)</t>
        </r>
      </text>
    </comment>
    <comment ref="H64" authorId="0" shapeId="0">
      <text>
        <r>
          <rPr>
            <b/>
            <sz val="9"/>
            <color indexed="81"/>
            <rFont val="Tahoma"/>
            <family val="2"/>
          </rPr>
          <t>Edwin Vega-Araya:</t>
        </r>
        <r>
          <rPr>
            <sz val="9"/>
            <color indexed="81"/>
            <rFont val="Tahoma"/>
            <family val="2"/>
          </rPr>
          <t xml:space="preserve">
Incluye Elaboración del Plan (un forestal) +- 5millones
Más capacitación y sensibilización del mismo (tallleres a Concejo Municipal, al Consejo del Corredor Biológico, y otras fuerzas vivas) +- 300.000 por taller y (15 personas x  40.000 por persona = 600.000.  Y son por 2 talleres y un intercambio por municipalidad).  total = 1.200.000
Materia prima (una parte donaciones, y otra compra en viveros locales y posiblemente fomentar la creación de alguno) +- 600.000 (se hace una analogía aproximada con la siembra de cercas en SAF)
Esto implica el costo por municipalidad atendida es de 6.800.000 </t>
        </r>
      </text>
    </comment>
    <comment ref="W67" authorId="0" shapeId="0">
      <text>
        <r>
          <rPr>
            <b/>
            <sz val="9"/>
            <color indexed="81"/>
            <rFont val="Tahoma"/>
            <family val="2"/>
          </rPr>
          <t>Edwin Vega-Araya:</t>
        </r>
        <r>
          <rPr>
            <sz val="9"/>
            <color indexed="81"/>
            <rFont val="Tahoma"/>
            <family val="2"/>
          </rPr>
          <t xml:space="preserve">
se quiere pasar de 4 a 10 topógrafos en un lapso de 6 años (de 2018 a 2023) y se mantienen luego.   1.000.000 al mes más un 500.000 al mes de viáticos.
Anualmente = 1,000,000*13 + 500,000*12 = 19,000,000</t>
        </r>
      </text>
    </comment>
    <comment ref="E68"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H68"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I68"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W68" authorId="0" shapeId="0">
      <text>
        <r>
          <rPr>
            <b/>
            <sz val="9"/>
            <color indexed="81"/>
            <rFont val="Tahoma"/>
            <family val="2"/>
          </rPr>
          <t>Edwin Vega-Araya:</t>
        </r>
        <r>
          <rPr>
            <sz val="9"/>
            <color indexed="81"/>
            <rFont val="Tahoma"/>
            <family val="2"/>
          </rPr>
          <t xml:space="preserve">
Podría ser que pronto se modifique la Ley y se aumenten los usos permitidos en PNE, lo que aumentaría el presupuesto en esto al doble.
El incremento en tiempo es que pase de 1/5 a 1/2 para hacer bien la función.</t>
        </r>
      </text>
    </comment>
    <comment ref="E69"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W69" authorId="0" shapeId="0">
      <text>
        <r>
          <rPr>
            <b/>
            <sz val="9"/>
            <color indexed="81"/>
            <rFont val="Tahoma"/>
            <family val="2"/>
          </rPr>
          <t>Edwin Vega-Araya:</t>
        </r>
        <r>
          <rPr>
            <sz val="9"/>
            <color indexed="81"/>
            <rFont val="Tahoma"/>
            <family val="2"/>
          </rPr>
          <t xml:space="preserve">
Taller de validación de zonas prioritarias para REDD+</t>
        </r>
      </text>
    </comment>
    <comment ref="H71" authorId="0" shapeId="0">
      <text>
        <r>
          <rPr>
            <b/>
            <sz val="9"/>
            <color indexed="81"/>
            <rFont val="Tahoma"/>
            <family val="2"/>
          </rPr>
          <t>Edwin Vega-Araya:</t>
        </r>
        <r>
          <rPr>
            <sz val="9"/>
            <color indexed="81"/>
            <rFont val="Tahoma"/>
            <family val="2"/>
          </rPr>
          <t xml:space="preserve">
más o menos cada estudio vale 100,000</t>
        </r>
      </text>
    </comment>
    <comment ref="W71" authorId="0" shapeId="0">
      <text>
        <r>
          <rPr>
            <b/>
            <sz val="9"/>
            <color indexed="81"/>
            <rFont val="Tahoma"/>
            <family val="2"/>
          </rPr>
          <t>Edwin Vega-Araya:</t>
        </r>
        <r>
          <rPr>
            <sz val="9"/>
            <color indexed="81"/>
            <rFont val="Tahoma"/>
            <family val="2"/>
          </rPr>
          <t xml:space="preserve">
Se busca más bien sistematizar tal que haya un proceso en que no salga tan caro cada estudio.  La regularización depende de muchas cosas resultado de los estudios.</t>
        </r>
      </text>
    </comment>
    <comment ref="AQ71" authorId="0" shapeId="0">
      <text>
        <r>
          <rPr>
            <b/>
            <sz val="9"/>
            <color indexed="81"/>
            <rFont val="Tahoma"/>
            <family val="2"/>
          </rPr>
          <t>Edwin Vega-Araya:</t>
        </r>
        <r>
          <rPr>
            <sz val="9"/>
            <color indexed="81"/>
            <rFont val="Tahoma"/>
            <family val="2"/>
          </rPr>
          <t xml:space="preserve">
Se supone que 5/6 de los $90,000 se usan en ASP y 1/6 en otras zonas ABRE.</t>
        </r>
      </text>
    </comment>
    <comment ref="W72" authorId="0" shapeId="0">
      <text>
        <r>
          <rPr>
            <b/>
            <sz val="9"/>
            <color indexed="81"/>
            <rFont val="Tahoma"/>
            <family val="2"/>
          </rPr>
          <t>Edwin Vega-Araya:</t>
        </r>
        <r>
          <rPr>
            <sz val="9"/>
            <color indexed="81"/>
            <rFont val="Tahoma"/>
            <family val="2"/>
          </rPr>
          <t xml:space="preserve">
Consiste en el apoyo a través del Plan de Adquisiciones del FCPF</t>
        </r>
      </text>
    </comment>
    <comment ref="E73" authorId="4"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E75"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W77" authorId="0" shapeId="0">
      <text>
        <r>
          <rPr>
            <b/>
            <sz val="9"/>
            <color indexed="81"/>
            <rFont val="Tahoma"/>
            <family val="2"/>
          </rPr>
          <t>Edwin Vega-Araya:</t>
        </r>
        <r>
          <rPr>
            <sz val="9"/>
            <color indexed="81"/>
            <rFont val="Tahoma"/>
            <family val="2"/>
          </rPr>
          <t xml:space="preserve">
Lobby político $1000/año</t>
        </r>
      </text>
    </comment>
    <comment ref="E79"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W79" authorId="0" shapeId="0">
      <text>
        <r>
          <rPr>
            <b/>
            <sz val="9"/>
            <color indexed="81"/>
            <rFont val="Tahoma"/>
            <family val="2"/>
          </rPr>
          <t>Edwin Vega-Araya:</t>
        </r>
        <r>
          <rPr>
            <sz val="9"/>
            <color indexed="81"/>
            <rFont val="Tahoma"/>
            <family val="2"/>
          </rPr>
          <t xml:space="preserve">
La parte de los Fondos de Preparación para REDD se debe ejecutar en tres años, aproximando las siguientes proporciones: 2017 30%, 2018: 50%, 2019 20%.</t>
        </r>
      </text>
    </comment>
    <comment ref="AQ79" authorId="0" shapeId="0">
      <text>
        <r>
          <rPr>
            <b/>
            <sz val="9"/>
            <color indexed="81"/>
            <rFont val="Tahoma"/>
            <family val="2"/>
          </rPr>
          <t>Edwin Vega-Araya:</t>
        </r>
        <r>
          <rPr>
            <sz val="9"/>
            <color indexed="81"/>
            <rFont val="Tahoma"/>
            <family val="2"/>
          </rPr>
          <t xml:space="preserve">
La idea es usar eso para implementar el diseño que salga del apoyo de FAO</t>
        </r>
      </text>
    </comment>
    <comment ref="AQ80" authorId="0" shapeId="0">
      <text>
        <r>
          <rPr>
            <b/>
            <sz val="9"/>
            <color indexed="81"/>
            <rFont val="Tahoma"/>
            <family val="2"/>
          </rPr>
          <t>Edwin Vega-Araya:</t>
        </r>
        <r>
          <rPr>
            <sz val="9"/>
            <color indexed="81"/>
            <rFont val="Tahoma"/>
            <family val="2"/>
          </rPr>
          <t xml:space="preserve">
Incluye el coordinador de MRV de la secretaría y el desarrollo del SM para Plantaciones forestales y SAF.  Entonces contempla fases A y C de la propuesta.</t>
        </r>
      </text>
    </comment>
    <comment ref="H81" authorId="3" shapeId="0">
      <text>
        <r>
          <rPr>
            <b/>
            <sz val="9"/>
            <color indexed="81"/>
            <rFont val="Tahoma"/>
            <family val="2"/>
          </rPr>
          <t>Magally Castro Alvarez:</t>
        </r>
        <r>
          <rPr>
            <sz val="9"/>
            <color indexed="81"/>
            <rFont val="Tahoma"/>
            <family val="2"/>
          </rPr>
          <t xml:space="preserve">
Implica salario de 4 compañeros que han trabajado en el año con temas indigenas y contrapartida del proyecto MAPCOBIO por sistematización de un proyecto en un territorio indigena </t>
        </r>
      </text>
    </comment>
    <comment ref="I81" authorId="3" shapeId="0">
      <text>
        <r>
          <rPr>
            <b/>
            <sz val="9"/>
            <color indexed="81"/>
            <rFont val="Tahoma"/>
            <family val="2"/>
          </rPr>
          <t>Magally Castro Alvarez:</t>
        </r>
        <r>
          <rPr>
            <sz val="9"/>
            <color indexed="81"/>
            <rFont val="Tahoma"/>
            <family val="2"/>
          </rPr>
          <t xml:space="preserve">
En cada año se está incluyendo salarios y combustible de 4 funcionarios en 4 AC.  Que incluye acciones aisladas de gestión en territorios indigenas hacia la conservación y uso sostenible de la biodiversidad  (en muy pequeña escala)</t>
        </r>
      </text>
    </comment>
    <comment ref="J81" authorId="3" shapeId="0">
      <text>
        <r>
          <rPr>
            <b/>
            <sz val="9"/>
            <color indexed="81"/>
            <rFont val="Tahoma"/>
            <family val="2"/>
          </rPr>
          <t>Magally Castro Alvarez:</t>
        </r>
        <r>
          <rPr>
            <sz val="9"/>
            <color indexed="81"/>
            <rFont val="Tahoma"/>
            <family val="2"/>
          </rPr>
          <t xml:space="preserve">
Incluye lo expuesto en el punto anterior (año 2017).  Más fondos para dos talleres con el objetivo de sistematizar lo que SINAC ha realizado en dos territorios indigenas.  Implica un proceso interno 
</t>
        </r>
      </text>
    </comment>
    <comment ref="W81" authorId="3" shapeId="0">
      <text>
        <r>
          <rPr>
            <b/>
            <sz val="9"/>
            <color indexed="81"/>
            <rFont val="Tahoma"/>
            <family val="2"/>
          </rPr>
          <t>Magally Castro Alvarez:</t>
        </r>
        <r>
          <rPr>
            <sz val="9"/>
            <color indexed="81"/>
            <rFont val="Tahoma"/>
            <family val="2"/>
          </rPr>
          <t xml:space="preserve">
Incluye:
- 15.000.000 para capacitación del personal del SINAC, CONAGEBIO Y FONAFIFO para sistematizar experiencias en TI.  Además capacitar en herramientas para trabajo con territorios indigenas tales como (comunicación asertiva, resolución de conflictos, cultura y tradiciones indígenas, legislación entre otros).  Incluye elaboración e impresión de manual de capacitación. 
- 5.500.000 para sistematizar lo que ha hecho o dirigido el SINAC, FONAFICO Y CONAGEBIO en 8 territorios indigenas en los ultimos cinco años. (inlcuye el diagnóstico, talleres e impresión de documento final.
- 13.700.0000 para diagnóstico y sistematización de 8 territorios indigenas el uso tradicional  de la biodiversidad y del bosque (inlcuye impresión de documento final)</t>
        </r>
      </text>
    </comment>
    <comment ref="X81" authorId="3"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4.700.000 para un modulo de capacitación a TI sobre (biodiversidad, cambios climático, GIRH, bosques, legislacion ambiental)
- 4.400.000 para conformar dos grupos de COVIRENAS y monitoreo
 participativo 
- 13.750.000 para definir y establecer un sistema de monitoreo participativo con camara trampa para 4 territorios indigenas 
- 8.625.000 para comprar camaras y demas equipo para el monitoreo para dos TI 
- 
</t>
        </r>
      </text>
    </comment>
    <comment ref="Y81" authorId="3"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 analisis de datos y capacitar al SINAC para continuarlos </t>
        </r>
      </text>
    </comment>
    <comment ref="Z81" authorId="3"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- 11.0000.000 Analisis de datos y capacitar al 
personal del SINAC para continuarlos 
-22.000.000 presentar en la COP DE BIODIVERSIDAD el trabajo de CR con territorios infigenas</t>
        </r>
      </text>
    </comment>
    <comment ref="AB81" authorId="3" shapeId="0">
      <text>
        <r>
          <rPr>
            <b/>
            <sz val="9"/>
            <color indexed="81"/>
            <rFont val="Tahoma"/>
            <family val="2"/>
          </rPr>
          <t>Magally Castro Alvarez:</t>
        </r>
        <r>
          <rPr>
            <sz val="9"/>
            <color indexed="81"/>
            <rFont val="Tahoma"/>
            <family val="2"/>
          </rPr>
          <t xml:space="preserve">
Incluye: 
- 5.000.000 para elaborar un plan de manejo comunitario de usos tradicionales de la biodiversidad y bosques en un territorio indigena (modelo de gobernanza)
- 2.000.000 para conformar dos grupos de COVIRENAS y monitoreo
 participativo  
- 4.400.000 para comprar camaras y demas equipo para el monitoreo para dos TI. y 
</t>
        </r>
      </text>
    </comment>
    <comment ref="W83" authorId="0" shapeId="0">
      <text>
        <r>
          <rPr>
            <b/>
            <sz val="9"/>
            <color indexed="81"/>
            <rFont val="Tahoma"/>
            <family val="2"/>
          </rPr>
          <t>Edwin Vega-Araya:</t>
        </r>
        <r>
          <rPr>
            <sz val="9"/>
            <color indexed="81"/>
            <rFont val="Tahoma"/>
            <family val="2"/>
          </rPr>
          <t xml:space="preserve">
1/8 tiempo profesional en Ciencias sociales para MIRI a $4000/mes</t>
        </r>
      </text>
    </comment>
    <comment ref="W84" authorId="0" shapeId="0">
      <text>
        <r>
          <rPr>
            <b/>
            <sz val="9"/>
            <color indexed="81"/>
            <rFont val="Tahoma"/>
            <family val="2"/>
          </rPr>
          <t>Edwin Vega-Araya:</t>
        </r>
        <r>
          <rPr>
            <sz val="9"/>
            <color indexed="81"/>
            <rFont val="Tahoma"/>
            <family val="2"/>
          </rPr>
          <t xml:space="preserve">
Por ahora se estima que ya los indicadores se generan en las instituciones por lo que se gastará 1/8 tiempo profesional en seguimiento e informes.</t>
        </r>
      </text>
    </comment>
    <comment ref="E88"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 ref="W88" authorId="3" shapeId="0">
      <text>
        <r>
          <rPr>
            <b/>
            <sz val="9"/>
            <color indexed="81"/>
            <rFont val="Tahoma"/>
            <family val="2"/>
          </rPr>
          <t>Magally Castro Alvarez:</t>
        </r>
        <r>
          <rPr>
            <sz val="9"/>
            <color indexed="81"/>
            <rFont val="Tahoma"/>
            <family val="2"/>
          </rPr>
          <t xml:space="preserve">
Incluye: 
3 millones para incluir el tema en la estrategia nacional del EA
12 millones para hacer 3 planes de educación-comunicación para 2 AC con mayor influencia en el tema. 
7 millones para capacitación de comunicación para la conservación a personal y consejos locales forestales 
3 millones (1 por CL) para fortalecer 3 consejos locales forestales existentes en el sistema.</t>
        </r>
      </text>
    </comment>
    <comment ref="X88" authorId="3" shapeId="0">
      <text>
        <r>
          <rPr>
            <b/>
            <sz val="9"/>
            <color indexed="81"/>
            <rFont val="Tahoma"/>
            <family val="2"/>
          </rPr>
          <t>Magally Castro Alvarez:</t>
        </r>
        <r>
          <rPr>
            <sz val="9"/>
            <color indexed="81"/>
            <rFont val="Tahoma"/>
            <family val="2"/>
          </rPr>
          <t xml:space="preserve">
Incluye: 
8 millones para hacer 2 planes de accion de educación - comunicaci-on. 
3 millones para conformar tres consejos locales forestales de AC  
7 millones para una capacitacion de educación-comunicacion a personal del SINAC y miembros de consejos locales. 
3.5 millones para ejecución de acciones de comunicación 
10 millones para 1 proyecto de reforetación o restauración desde los consejos locales. 
</t>
        </r>
      </text>
    </comment>
    <comment ref="Y88" authorId="3" shapeId="0">
      <text>
        <r>
          <rPr>
            <b/>
            <sz val="9"/>
            <color indexed="81"/>
            <rFont val="Tahoma"/>
            <family val="2"/>
          </rPr>
          <t>Magally Castro Alvarez:</t>
        </r>
        <r>
          <rPr>
            <sz val="9"/>
            <color indexed="81"/>
            <rFont val="Tahoma"/>
            <family val="2"/>
          </rPr>
          <t xml:space="preserve">
Incluye: 
8 millones para hacer el plan de accion de educación comunicacioón en 2 AC,
7 millones para desarrollar acciones de educación - comunicación. 
10 millones para insentivar proyectos de reforestación  o restauración desde los consejos locales forestales. 
2 millones para acciones conjuntas con el MEP para incluir el tema en el curriculum. 
6 millones para un sistema de monitoreo de impacto de las acciones 
</t>
        </r>
      </text>
    </comment>
    <comment ref="Z88" authorId="3"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AA88" authorId="3"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AB88" authorId="3"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AC88" authorId="3"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AD88" authorId="3"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AE88" authorId="3"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W89" authorId="0" shapeId="0">
      <text>
        <r>
          <rPr>
            <b/>
            <sz val="9"/>
            <color indexed="81"/>
            <rFont val="Tahoma"/>
            <family val="2"/>
          </rPr>
          <t>Edwin Vega-Araya:</t>
        </r>
        <r>
          <rPr>
            <sz val="9"/>
            <color indexed="81"/>
            <rFont val="Tahoma"/>
            <family val="2"/>
          </rPr>
          <t xml:space="preserve">
Ejecución en 3 años de $80,000 del Plan de Adquisiciones de apoyo a esta actividad</t>
        </r>
      </text>
    </comment>
    <comment ref="W90" authorId="0" shapeId="0">
      <text>
        <r>
          <rPr>
            <b/>
            <sz val="9"/>
            <color indexed="81"/>
            <rFont val="Tahoma"/>
            <family val="2"/>
          </rPr>
          <t>Edwin Vega-Araya:</t>
        </r>
        <r>
          <rPr>
            <sz val="9"/>
            <color indexed="81"/>
            <rFont val="Tahoma"/>
            <family val="2"/>
          </rPr>
          <t xml:space="preserve">
Se estima que las actividades impliquen un gasto anual de $10.000</t>
        </r>
      </text>
    </comment>
    <comment ref="W92" authorId="0" shapeId="0">
      <text>
        <r>
          <rPr>
            <b/>
            <sz val="9"/>
            <color indexed="81"/>
            <rFont val="Tahoma"/>
            <family val="2"/>
          </rPr>
          <t>Edwin Vega-Araya:</t>
        </r>
        <r>
          <rPr>
            <sz val="9"/>
            <color indexed="81"/>
            <rFont val="Tahoma"/>
            <family val="2"/>
          </rPr>
          <t xml:space="preserve">
No se estima costo pues se requiere una directriz del Ministro, más que en lobby político $1000/año</t>
        </r>
      </text>
    </comment>
    <comment ref="W93" authorId="0" shapeId="0">
      <text>
        <r>
          <rPr>
            <b/>
            <sz val="9"/>
            <color indexed="81"/>
            <rFont val="Tahoma"/>
            <family val="2"/>
          </rPr>
          <t>Edwin Vega-Araya:</t>
        </r>
        <r>
          <rPr>
            <sz val="9"/>
            <color indexed="81"/>
            <rFont val="Tahoma"/>
            <family val="2"/>
          </rPr>
          <t xml:space="preserve">
4 profesionales 1b de 700.000/mes aproximadamente </t>
        </r>
      </text>
    </comment>
    <comment ref="W94" authorId="0" shapeId="0">
      <text>
        <r>
          <rPr>
            <b/>
            <sz val="9"/>
            <color indexed="81"/>
            <rFont val="Tahoma"/>
            <family val="2"/>
          </rPr>
          <t>Edwin Vega-Araya:</t>
        </r>
        <r>
          <rPr>
            <sz val="9"/>
            <color indexed="81"/>
            <rFont val="Tahoma"/>
            <family val="2"/>
          </rPr>
          <t xml:space="preserve">
 1/2 tiempo para MGAS, a $4000/mes = $24.000</t>
        </r>
      </text>
    </comment>
    <comment ref="W96" authorId="0" shapeId="0">
      <text>
        <r>
          <rPr>
            <b/>
            <sz val="9"/>
            <color indexed="81"/>
            <rFont val="Tahoma"/>
            <family val="2"/>
          </rPr>
          <t>Edwin Vega-Araya:</t>
        </r>
        <r>
          <rPr>
            <sz val="9"/>
            <color indexed="81"/>
            <rFont val="Tahoma"/>
            <family val="2"/>
          </rPr>
          <t xml:space="preserve">
Contempla viajes al exterior $20.000 entre viáticos y transporte + publicidad unos $10.000 + mesa negocios + contrato para desarrollar proyecto (20.000) = $55.000.  Se haría cada 2 años:en 2017, 2019 y 2021.  Estos últimos 2 años sería 15.000 (viajes) + 10.000 (publicidad) + 20.000 (contrato diseño proyectos)</t>
        </r>
      </text>
    </comment>
    <comment ref="W98"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AF98"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AQ103" authorId="0" shapeId="0">
      <text>
        <r>
          <rPr>
            <b/>
            <sz val="9"/>
            <color indexed="81"/>
            <rFont val="Tahoma"/>
            <family val="2"/>
          </rPr>
          <t>Edwin Vega-Araya:</t>
        </r>
        <r>
          <rPr>
            <sz val="9"/>
            <color indexed="81"/>
            <rFont val="Tahoma"/>
            <family val="2"/>
          </rPr>
          <t xml:space="preserve">
Identificar en la fórmula en el Archivo Plan de Implementación V7 las actividades de "Plan Adq FPrep2" que integran cada monto.</t>
        </r>
      </text>
    </comment>
    <comment ref="AR103" authorId="0" shapeId="0">
      <text>
        <r>
          <rPr>
            <b/>
            <sz val="9"/>
            <color indexed="81"/>
            <rFont val="Tahoma"/>
            <family val="2"/>
          </rPr>
          <t xml:space="preserve">Edwin Vega-Araya: </t>
        </r>
        <r>
          <rPr>
            <sz val="9"/>
            <color indexed="81"/>
            <rFont val="Tahoma"/>
            <family val="2"/>
          </rPr>
          <t xml:space="preserve">Revisar en el Plan de Adquisiciones la distribución entre 2016, 2017 y 2018 de estos fondos.
</t>
        </r>
      </text>
    </comment>
    <comment ref="E10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E115"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E124"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List>
</comments>
</file>

<file path=xl/comments5.xml><?xml version="1.0" encoding="utf-8"?>
<comments xmlns="http://schemas.openxmlformats.org/spreadsheetml/2006/main">
  <authors>
    <author>Edwin Vega-Araya</author>
    <author>harce</author>
    <author>José Joaquin Calvo Domingo</author>
    <author>Magally Castro Alvarez</author>
    <author>Carlos Varela Jimenez</author>
    <author>Vega_Araya Edwin_Eduardo</author>
  </authors>
  <commentList>
    <comment ref="Q2" authorId="0" shapeId="0">
      <text>
        <r>
          <rPr>
            <b/>
            <sz val="9"/>
            <color indexed="81"/>
            <rFont val="Tahoma"/>
            <family val="2"/>
          </rPr>
          <t>Edwin Vega-Araya:</t>
        </r>
        <r>
          <rPr>
            <sz val="9"/>
            <color indexed="81"/>
            <rFont val="Tahoma"/>
            <family val="2"/>
          </rPr>
          <t xml:space="preserve">
Implementador principal  (IP), Implementador de Apoyo (IA)</t>
        </r>
      </text>
    </comment>
    <comment ref="BF2" authorId="0" shapeId="0">
      <text>
        <r>
          <rPr>
            <b/>
            <sz val="9"/>
            <color indexed="81"/>
            <rFont val="Tahoma"/>
            <family val="2"/>
          </rPr>
          <t>Edwin Vega-Araya:</t>
        </r>
        <r>
          <rPr>
            <sz val="9"/>
            <color indexed="81"/>
            <rFont val="Tahoma"/>
            <family val="2"/>
          </rPr>
          <t xml:space="preserve">
El Plan Financiero desarrollado por Terra Global para la Secretaría de REDD+ CR tiene los siguientes capítulos:
1. REDD+ </t>
        </r>
        <r>
          <rPr>
            <b/>
            <sz val="9"/>
            <color indexed="81"/>
            <rFont val="Tahoma"/>
            <family val="2"/>
          </rPr>
          <t>PROGRAM ADMINISTRATION AND MANAGEMENT</t>
        </r>
        <r>
          <rPr>
            <sz val="9"/>
            <color indexed="81"/>
            <rFont val="Tahoma"/>
            <family val="2"/>
          </rPr>
          <t xml:space="preserve"> COSTS
   1.1 STAFFING COSTS
   1.2 KEY </t>
        </r>
        <r>
          <rPr>
            <b/>
            <sz val="9"/>
            <color indexed="81"/>
            <rFont val="Tahoma"/>
            <family val="2"/>
          </rPr>
          <t>CONSULTANCIES AND STUDIES</t>
        </r>
        <r>
          <rPr>
            <sz val="9"/>
            <color indexed="81"/>
            <rFont val="Tahoma"/>
            <family val="2"/>
          </rPr>
          <t xml:space="preserve">
   1.3 TRAVEL TO SUPPORT MANAGEMENT OF ER PROGRAM
   1.5 STAKEHOLDER ENGAGEMENT
      1.5.1 Stakeholder Meetings
      1.5.2 Stakeholder Consultants and Communication
   1.6 SAFEGUARDS AND REDRESS SYSTEMS
      1.6.1 Safeguards Monitoring
      1.6.2 Redress and Grievances
   1.7 BENEFITS PLAN MANAGEMENT
   1.8 EMISSION REDUCTION QUANTIFICATION, VERIFICATION AND ISSUANCE
2 REDD+ PROGRAM ACTIVITIES COSTS
   2.1    </t>
        </r>
        <r>
          <rPr>
            <b/>
            <sz val="9"/>
            <color indexed="81"/>
            <rFont val="Tahoma"/>
            <family val="2"/>
          </rPr>
          <t>FONAFIFO</t>
        </r>
        <r>
          <rPr>
            <sz val="9"/>
            <color indexed="81"/>
            <rFont val="Tahoma"/>
            <family val="2"/>
          </rPr>
          <t xml:space="preserve"> PAYMENT FOR ENVIRONMENTAL SERVICES (PSA)
   2.2    </t>
        </r>
        <r>
          <rPr>
            <b/>
            <sz val="9"/>
            <color indexed="81"/>
            <rFont val="Tahoma"/>
            <family val="2"/>
          </rPr>
          <t>SINAC</t>
        </r>
        <r>
          <rPr>
            <sz val="9"/>
            <color indexed="81"/>
            <rFont val="Tahoma"/>
            <family val="2"/>
          </rPr>
          <t xml:space="preserve"> INCREASED GOVERNANCE/SIZE OF PROTECTED AREAS
Los puestos en Negrita son los que aparecen en la tabla</t>
        </r>
      </text>
    </comment>
    <comment ref="H3" authorId="0" shapeId="0">
      <text>
        <r>
          <rPr>
            <b/>
            <sz val="9"/>
            <color indexed="81"/>
            <rFont val="Tahoma"/>
            <family val="2"/>
          </rPr>
          <t>Edwin Vega-Araya:</t>
        </r>
        <r>
          <rPr>
            <sz val="9"/>
            <color indexed="81"/>
            <rFont val="Tahoma"/>
            <family val="2"/>
          </rPr>
          <t xml:space="preserve">
VER ABAJO EL SIGNIFICADO DE LOS CÓDIGOS</t>
        </r>
      </text>
    </comment>
    <comment ref="I3" authorId="0" shapeId="0">
      <text>
        <r>
          <rPr>
            <b/>
            <sz val="9"/>
            <color indexed="81"/>
            <rFont val="Tahoma"/>
            <family val="2"/>
          </rPr>
          <t>Edwin Vega-Araya:</t>
        </r>
        <r>
          <rPr>
            <sz val="9"/>
            <color indexed="81"/>
            <rFont val="Tahoma"/>
            <family val="2"/>
          </rPr>
          <t xml:space="preserve">
VER ABAJO EL SIGNIFICADO DE LOS CÓDIGOS</t>
        </r>
      </text>
    </comment>
    <comment ref="CS3" authorId="0" shapeId="0">
      <text>
        <r>
          <rPr>
            <b/>
            <sz val="9"/>
            <color indexed="81"/>
            <rFont val="Tahoma"/>
            <family val="2"/>
          </rPr>
          <t>Edwin Vega-Araya:</t>
        </r>
        <r>
          <rPr>
            <sz val="9"/>
            <color indexed="81"/>
            <rFont val="Tahoma"/>
            <family val="2"/>
          </rPr>
          <t xml:space="preserve">
Identificar en la fórmula en el Archivo Plan de Implementación V7 las actividades de "Plan Adq FPrep2" que integran cada monto.</t>
        </r>
      </text>
    </comment>
    <comment ref="CT3" authorId="0" shapeId="0">
      <text>
        <r>
          <rPr>
            <b/>
            <sz val="9"/>
            <color indexed="81"/>
            <rFont val="Tahoma"/>
            <family val="2"/>
          </rPr>
          <t xml:space="preserve">Edwin Vega-Araya: </t>
        </r>
        <r>
          <rPr>
            <sz val="9"/>
            <color indexed="81"/>
            <rFont val="Tahoma"/>
            <family val="2"/>
          </rPr>
          <t xml:space="preserve">Revisar en el Plan de Adquisiciones la distribución entre 2016, 2017 y 2018 de estos fondos.
</t>
        </r>
      </text>
    </comment>
    <comment ref="N4"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AH4" authorId="0" shapeId="0">
      <text>
        <r>
          <rPr>
            <b/>
            <sz val="9"/>
            <color indexed="81"/>
            <rFont val="Tahoma"/>
            <family val="2"/>
          </rPr>
          <t>Edwin Vega-Araya:</t>
        </r>
        <r>
          <rPr>
            <sz val="9"/>
            <color indexed="81"/>
            <rFont val="Tahoma"/>
            <family val="2"/>
          </rPr>
          <t xml:space="preserve">
Todo debe culminar con la publicación de un decreto que lo oficialice.  El diseño tiene 3 nodos principales: 1) Monitoreo (y arreglos institucionales) 2) Clasificación  3) Mapeo.  Todas las etapas deben cumplirse para decir que está operando.
Para REDD+ el Informe de Javier y Lucio ellos plantearon qué hay que hacer para que el SIMOCUTE cumpla esos tres nodos dentro de la parte de REDD+.  No es seguro que alcance lo que está en el Plan de Adquisiones para que se desarrolle el MRV de REDD+, y eso lo dice el estudio del diseño.
En la parte del INF en Rediseño y variables hay datos del costo de la medición de las parcelas. PREGUNTAR A MAURICIO CASTILLO el costo, y podría ser lo sin REDD.  Lo con REDD sería lo proyectado por el informe de Javier que hay que "adaptar" a lo presupuestado en Plan de Adquisiciones.  La MESA TÉCNICA de REDD del SIMOCUTE dirá lo que al final se hará.  La mesa técnica puede hacerse con 3 talleres coordinada por un consultor en el primer semestre 2017.  Xinia es la consultora y maneja la logística y costos.</t>
        </r>
      </text>
    </comment>
    <comment ref="AM4" authorId="0" shapeId="0">
      <text>
        <r>
          <rPr>
            <b/>
            <sz val="9"/>
            <color indexed="81"/>
            <rFont val="Tahoma"/>
            <family val="2"/>
          </rPr>
          <t>Edwin Vega-Araya:</t>
        </r>
        <r>
          <rPr>
            <sz val="9"/>
            <color indexed="81"/>
            <rFont val="Tahoma"/>
            <family val="2"/>
          </rPr>
          <t xml:space="preserve">
El Sistema existe pero no permite incorporar nuevas actividades REDD+.</t>
        </r>
      </text>
    </comment>
    <comment ref="BX4" authorId="0" shapeId="0">
      <text>
        <r>
          <rPr>
            <b/>
            <sz val="9"/>
            <color indexed="81"/>
            <rFont val="Tahoma"/>
            <family val="2"/>
          </rPr>
          <t>Edwin Vega-Araya:</t>
        </r>
        <r>
          <rPr>
            <sz val="9"/>
            <color indexed="81"/>
            <rFont val="Tahoma"/>
            <family val="2"/>
          </rPr>
          <t xml:space="preserve">
La parte de los Fondos de Preparación para REDD se debe ejecutar en tres años, aproximando las siguientes proporciones: 2017 30%, 2018: 50%, 2019 20%.</t>
        </r>
      </text>
    </comment>
    <comment ref="CS4" authorId="0" shapeId="0">
      <text>
        <r>
          <rPr>
            <b/>
            <sz val="9"/>
            <color indexed="81"/>
            <rFont val="Tahoma"/>
            <family val="2"/>
          </rPr>
          <t>Edwin Vega-Araya:</t>
        </r>
        <r>
          <rPr>
            <sz val="9"/>
            <color indexed="81"/>
            <rFont val="Tahoma"/>
            <family val="2"/>
          </rPr>
          <t xml:space="preserve">
La idea es usar eso para implementar el diseño que salga del apoyo de FAO</t>
        </r>
      </text>
    </comment>
    <comment ref="N5" authorId="0" shapeId="0">
      <text>
        <r>
          <rPr>
            <b/>
            <sz val="9"/>
            <color indexed="81"/>
            <rFont val="Tahoma"/>
            <family val="2"/>
          </rPr>
          <t>Edwin Vega-Araya:</t>
        </r>
        <r>
          <rPr>
            <sz val="9"/>
            <color indexed="81"/>
            <rFont val="Tahoma"/>
            <family val="2"/>
          </rPr>
          <t xml:space="preserve">
Promovido por PNUD</t>
        </r>
      </text>
    </comment>
    <comment ref="AH5" authorId="0" shapeId="0">
      <text>
        <r>
          <rPr>
            <b/>
            <sz val="9"/>
            <color indexed="81"/>
            <rFont val="Tahoma"/>
            <family val="2"/>
          </rPr>
          <t>Edwin Vega-Araya:</t>
        </r>
        <r>
          <rPr>
            <sz val="9"/>
            <color indexed="81"/>
            <rFont val="Tahoma"/>
            <family val="2"/>
          </rPr>
          <t xml:space="preserve">
Ya la de Piña está.  Faltarían los otros 2 cultivos y están contemplados en el Plan de Adquisisiones</t>
        </r>
      </text>
    </comment>
    <comment ref="N6"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BJ6" authorId="0" shapeId="0">
      <text>
        <r>
          <rPr>
            <b/>
            <sz val="9"/>
            <color indexed="81"/>
            <rFont val="Tahoma"/>
            <family val="2"/>
          </rPr>
          <t>Edwin Vega-Araya:</t>
        </r>
        <r>
          <rPr>
            <sz val="9"/>
            <color indexed="81"/>
            <rFont val="Tahoma"/>
            <family val="2"/>
          </rPr>
          <t xml:space="preserve">
Es una actividad nueva por lo que no lleva "Sin REDD+"</t>
        </r>
      </text>
    </comment>
    <comment ref="BX6" authorId="0" shapeId="0">
      <text>
        <r>
          <rPr>
            <b/>
            <sz val="9"/>
            <color indexed="81"/>
            <rFont val="Tahoma"/>
            <family val="2"/>
          </rPr>
          <t>Edwin Vega-Araya:</t>
        </r>
        <r>
          <rPr>
            <sz val="9"/>
            <color indexed="81"/>
            <rFont val="Tahoma"/>
            <family val="2"/>
          </rPr>
          <t xml:space="preserve">
Consiste en una consultoría + un sistema de información digital en línea con el Sistema Nacional de Métrica que desarrolle la DCC.
Consultoría de un equipo que haga las dos cosas un año de duración $120,000.  La consultoría para el mecanismo de compensación que lleva parámetros similares está valorada en ese monto.</t>
        </r>
      </text>
    </comment>
    <comment ref="B7"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N7"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AL7" authorId="1" shapeId="0">
      <text>
        <r>
          <rPr>
            <b/>
            <sz val="9"/>
            <color indexed="81"/>
            <rFont val="Tahoma"/>
            <family val="2"/>
          </rPr>
          <t>harce:</t>
        </r>
        <r>
          <rPr>
            <sz val="9"/>
            <color indexed="81"/>
            <rFont val="Tahoma"/>
            <family val="2"/>
          </rPr>
          <t xml:space="preserve">
se supone que para ese año FONAFIFO será operador del sistema de Banca para el Desarrollo 
s</t>
        </r>
      </text>
    </comment>
    <comment ref="AV7" authorId="0" shapeId="0">
      <text>
        <r>
          <rPr>
            <b/>
            <sz val="9"/>
            <color indexed="81"/>
            <rFont val="Tahoma"/>
            <family val="2"/>
          </rPr>
          <t>Edwin Vega-Araya:</t>
        </r>
        <r>
          <rPr>
            <sz val="9"/>
            <color indexed="81"/>
            <rFont val="Tahoma"/>
            <family val="2"/>
          </rPr>
          <t xml:space="preserve">
Ojo que es el dato incremental, corregir al pasar.
CORREGIDO 14/11/2016</t>
        </r>
      </text>
    </comment>
    <comment ref="BA7" authorId="1" shapeId="0">
      <text>
        <r>
          <rPr>
            <b/>
            <sz val="9"/>
            <color indexed="81"/>
            <rFont val="Tahoma"/>
            <family val="2"/>
          </rPr>
          <t>harce:</t>
        </r>
        <r>
          <rPr>
            <sz val="9"/>
            <color indexed="81"/>
            <rFont val="Tahoma"/>
            <family val="2"/>
          </rPr>
          <t xml:space="preserve">
se estima que al menos 6 millones de dolares de los posibles beneficios de REDD+ deben pasar al programa de crédito para apoyar ele stablecimiento de plantaciones y sistemas agroforestales. Al colocar estos recursp en crédito esta ganando todo el sector forestal ya que se da sostenibilidad financiera debido a los retornos.
</t>
        </r>
        <r>
          <rPr>
            <b/>
            <sz val="9"/>
            <color indexed="81"/>
            <rFont val="Tahoma"/>
            <family val="2"/>
          </rPr>
          <t xml:space="preserve">evega:
</t>
        </r>
        <r>
          <rPr>
            <sz val="9"/>
            <color indexed="81"/>
            <rFont val="Tahoma"/>
            <family val="2"/>
          </rPr>
          <t>Se estima que se agregará 1,000,000 por año desde 2019 hasta 2023.</t>
        </r>
      </text>
    </comment>
    <comment ref="BJ7" authorId="0" shapeId="0">
      <text>
        <r>
          <rPr>
            <b/>
            <sz val="9"/>
            <color indexed="81"/>
            <rFont val="Tahoma"/>
            <family val="2"/>
          </rPr>
          <t>Edwin Vega-Araya:</t>
        </r>
        <r>
          <rPr>
            <sz val="9"/>
            <color indexed="81"/>
            <rFont val="Tahoma"/>
            <family val="2"/>
          </rPr>
          <t xml:space="preserve">
Los costos sin y con REDD+ son iguales corresponden a la operación del departamento.  Zoila pasó el dato el 15/11/2016 por email.   Se agrega el aporte en la situación Con REDD+ de los aportes de la Preparación de la Segunda donación.</t>
        </r>
      </text>
    </comment>
    <comment ref="BX7"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BY7"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N9" authorId="0" shapeId="0">
      <text>
        <r>
          <rPr>
            <b/>
            <sz val="9"/>
            <color indexed="81"/>
            <rFont val="Tahoma"/>
            <family val="2"/>
          </rPr>
          <t>Edwin Vega-Araya:</t>
        </r>
        <r>
          <rPr>
            <sz val="9"/>
            <color indexed="81"/>
            <rFont val="Tahoma"/>
            <family val="2"/>
          </rPr>
          <t xml:space="preserve">
En PAAs de EV</t>
        </r>
      </text>
    </comment>
    <comment ref="P10" authorId="0" shapeId="0">
      <text>
        <r>
          <rPr>
            <b/>
            <sz val="9"/>
            <color indexed="81"/>
            <rFont val="Tahoma"/>
            <family val="2"/>
          </rPr>
          <t>Edwin Vega-Araya:</t>
        </r>
        <r>
          <rPr>
            <sz val="9"/>
            <color indexed="81"/>
            <rFont val="Tahoma"/>
            <family val="2"/>
          </rPr>
          <t xml:space="preserve">
No se ha consultado con ella todavía, solo hay la propuesta de que sea IMN quien lidere Fase A, pero puede ser la misma coordinación de la Secretaría.</t>
        </r>
      </text>
    </comment>
    <comment ref="CS10" authorId="0" shapeId="0">
      <text>
        <r>
          <rPr>
            <b/>
            <sz val="9"/>
            <color indexed="81"/>
            <rFont val="Tahoma"/>
            <family val="2"/>
          </rPr>
          <t>Edwin Vega-Araya:</t>
        </r>
        <r>
          <rPr>
            <sz val="9"/>
            <color indexed="81"/>
            <rFont val="Tahoma"/>
            <family val="2"/>
          </rPr>
          <t xml:space="preserve">
Incluye el coordinador de MRV de la secretaría y el desarrollo del SM para Plantaciones forestales y SAF.  Entonces contempla fases A y C de la propuesta.</t>
        </r>
      </text>
    </comment>
    <comment ref="N11"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AK11" authorId="0" shapeId="0">
      <text>
        <r>
          <rPr>
            <b/>
            <sz val="9"/>
            <color indexed="81"/>
            <rFont val="Tahoma"/>
            <family val="2"/>
          </rPr>
          <t>Edwin Vega-Araya:</t>
        </r>
        <r>
          <rPr>
            <sz val="9"/>
            <color indexed="81"/>
            <rFont val="Tahoma"/>
            <family val="2"/>
          </rPr>
          <t xml:space="preserve">
El crecimiento esperado en la situación actual es de incorporar 10 fincas adicionales cada año.</t>
        </r>
      </text>
    </comment>
    <comment ref="AU11" authorId="0" shapeId="0">
      <text>
        <r>
          <rPr>
            <b/>
            <sz val="9"/>
            <color indexed="81"/>
            <rFont val="Tahoma"/>
            <family val="2"/>
          </rPr>
          <t>Edwin Vega-Araya:</t>
        </r>
        <r>
          <rPr>
            <sz val="9"/>
            <color indexed="81"/>
            <rFont val="Tahoma"/>
            <family val="2"/>
          </rPr>
          <t xml:space="preserve">
Con REDD+ se podría llegar a 50 de incremento anual de fincas incorporadas al programa.  El primer año se supone casi la mitad de eso.
Según email del 28/11/2016 de Mauricio Chacón.</t>
        </r>
      </text>
    </comment>
    <comment ref="BJ11" authorId="0" shapeId="0">
      <text>
        <r>
          <rPr>
            <b/>
            <sz val="9"/>
            <color indexed="81"/>
            <rFont val="Tahoma"/>
            <family val="2"/>
          </rPr>
          <t>Edwin Vega-Araya:</t>
        </r>
        <r>
          <rPr>
            <sz val="9"/>
            <color indexed="81"/>
            <rFont val="Tahoma"/>
            <family val="2"/>
          </rPr>
          <t xml:space="preserve">
Se estima el costo de incorporar una finca adicional al PPN como el tiempo horas técnico y profesional dedicados a visitas y asistencia técnica al finquero para el convencimiento y desarrollo de actividades. Un profesional y un técnico que hagan 6 visitas de campo de 1 hora cada visita.  Una visita cuesta 7,000 (hora del profesional) + 5,000 (hora del técnico) + 5,000 (combustible) + 4,000 (media de viáticos) = 21,000.  Por lo tanto 6 visitas cuestan = 126,000 colones.</t>
        </r>
      </text>
    </comment>
    <comment ref="N12"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Directriz ministerial con lo del Programa de Bosques y Desarrollo Rural).  Serían profesionales.</t>
        </r>
      </text>
    </comment>
    <comment ref="AI12" authorId="0" shapeId="0">
      <text>
        <r>
          <rPr>
            <b/>
            <sz val="9"/>
            <color indexed="81"/>
            <rFont val="Tahoma"/>
            <family val="2"/>
          </rPr>
          <t>Edwin Vega-Araya:</t>
        </r>
        <r>
          <rPr>
            <sz val="9"/>
            <color indexed="81"/>
            <rFont val="Tahoma"/>
            <family val="2"/>
          </rPr>
          <t xml:space="preserve">
El costo unitario de cada evento se estima en 330.800 colones según estimación del SINAC para el componente de capacitación en la actividad de "fortalecer el control comunitario de deforestación", en este mismo ejercicio, entre el salario profesional, combustibles, viáticos, materiales, etc.</t>
        </r>
      </text>
    </comment>
    <comment ref="AJ12" authorId="0" shapeId="0">
      <text>
        <r>
          <rPr>
            <b/>
            <sz val="9"/>
            <color indexed="81"/>
            <rFont val="Tahoma"/>
            <family val="2"/>
          </rPr>
          <t>Edwin Vega-Araya:</t>
        </r>
        <r>
          <rPr>
            <sz val="9"/>
            <color indexed="81"/>
            <rFont val="Tahoma"/>
            <family val="2"/>
          </rPr>
          <t xml:space="preserve">
Se espera al menos un taller de capacitación por región.</t>
        </r>
      </text>
    </comment>
    <comment ref="AU12" authorId="0" shapeId="0">
      <text>
        <r>
          <rPr>
            <b/>
            <sz val="9"/>
            <color indexed="81"/>
            <rFont val="Tahoma"/>
            <family val="2"/>
          </rPr>
          <t>Edwin Vega-Araya:</t>
        </r>
        <r>
          <rPr>
            <sz val="9"/>
            <color indexed="81"/>
            <rFont val="Tahoma"/>
            <family val="2"/>
          </rPr>
          <t xml:space="preserve">
Con REDD+ se podría incrementar la cantidad de talleres a cerca de 3 talleres anuales por región.</t>
        </r>
      </text>
    </comment>
    <comment ref="BK12" authorId="0" shapeId="0">
      <text>
        <r>
          <rPr>
            <b/>
            <sz val="9"/>
            <color indexed="81"/>
            <rFont val="Tahoma"/>
            <family val="2"/>
          </rPr>
          <t>Edwin Vega-Araya:</t>
        </r>
        <r>
          <rPr>
            <sz val="9"/>
            <color indexed="81"/>
            <rFont val="Tahoma"/>
            <family val="2"/>
          </rPr>
          <t xml:space="preserve">
Se supone un incremento anual en costos del 5%</t>
        </r>
      </text>
    </comment>
    <comment ref="BY12" authorId="0" shapeId="0">
      <text>
        <r>
          <rPr>
            <b/>
            <sz val="9"/>
            <color indexed="81"/>
            <rFont val="Tahoma"/>
            <family val="2"/>
          </rPr>
          <t>Edwin Vega-Araya:</t>
        </r>
        <r>
          <rPr>
            <sz val="9"/>
            <color indexed="81"/>
            <rFont val="Tahoma"/>
            <family val="2"/>
          </rPr>
          <t xml:space="preserve">
Se supone un incremento anual en costos del 5%</t>
        </r>
      </text>
    </comment>
    <comment ref="N13"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AH13" authorId="0" shapeId="0">
      <text>
        <r>
          <rPr>
            <b/>
            <sz val="9"/>
            <color indexed="81"/>
            <rFont val="Tahoma"/>
            <family val="2"/>
          </rPr>
          <t>Edwin Vega-Araya:</t>
        </r>
        <r>
          <rPr>
            <sz val="9"/>
            <color indexed="81"/>
            <rFont val="Tahoma"/>
            <family val="2"/>
          </rPr>
          <t xml:space="preserve">
La cifra en dólares se convierte a colones a un tipo de cambio de 550 colones por US$.  Supone un tamaño de finca medio de 20 ha. Y un costo de implementación de medidas según la estimación realizada en "Costos de Implementación en el campo".
Es un promedio ponderado donde los ponderadores vienen del Censo Agropecuario.  Se censaron 93 017 fincas con extención total de 2 406 418 ha lo que da un promedio de casi 26 ha por finca.  Como entre las fincas censadas van fincas de protección incluídas, se considera que 20 ha como extensión media de fincas ganaderas y 10 ha como extensión media de fincas agrícolas es bueno.  Los ponderadores usados se basan en que 1 044 909,6 / 2 406 418,4 = 43,4% es extensión dedicada a pastos; (167 163,4 + 377 214,2) / 2 406 418,4 = 22,6% es dedicada a labranza y cultivos permanentes.  736 502,2 / 2 406 418,4 = 30,6% es dedicada a bosques.  El resto (3,4%) es de otros usos.  Considerando solamente las extensiones dedicadas a pastos y las de agrícolas los ponderadores serían 43,4 x 100 / (43,4+22,6) = 65,8 para "ganaderas" y 22,6 x 100 / 66 = 34,2 para "agrícolas".  El supuesto para el cálculo es que el crédito se distribuirá proporcionalmente entre las hectáreas en ganadería y las hectáreas en agricultura según éstas se distribuyen en las fincas censadas.</t>
        </r>
      </text>
    </comment>
    <comment ref="AH14" authorId="0" shapeId="0">
      <text>
        <r>
          <rPr>
            <b/>
            <sz val="9"/>
            <color indexed="81"/>
            <rFont val="Tahoma"/>
            <family val="2"/>
          </rPr>
          <t>Edwin Vega-Araya:</t>
        </r>
        <r>
          <rPr>
            <sz val="9"/>
            <color indexed="81"/>
            <rFont val="Tahoma"/>
            <family val="2"/>
          </rPr>
          <t xml:space="preserve">
Para determinar el número de fincas que en promedio significan esta cantidad de ha, se divide entre 10 que es el tamaño de finca promedio.  En el indicador anteriror, para las fincas ganaderas, el divisor es 20 ya que se estima en 20 ha el tamaño de finca promedio de las mismas.</t>
        </r>
      </text>
    </comment>
    <comment ref="N15"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AY16" authorId="0" shapeId="0">
      <text>
        <r>
          <rPr>
            <b/>
            <sz val="9"/>
            <color indexed="81"/>
            <rFont val="Tahoma"/>
            <family val="2"/>
          </rPr>
          <t>Edwin Vega-Araya:</t>
        </r>
        <r>
          <rPr>
            <sz val="9"/>
            <color indexed="81"/>
            <rFont val="Tahoma"/>
            <family val="2"/>
          </rPr>
          <t xml:space="preserve">
Se publica el nuevo PNDF</t>
        </r>
      </text>
    </comment>
    <comment ref="BX16" authorId="0" shapeId="0">
      <text>
        <r>
          <rPr>
            <b/>
            <sz val="9"/>
            <color indexed="81"/>
            <rFont val="Tahoma"/>
            <family val="2"/>
          </rPr>
          <t>Edwin Vega-Araya:</t>
        </r>
        <r>
          <rPr>
            <sz val="9"/>
            <color indexed="81"/>
            <rFont val="Tahoma"/>
            <family val="2"/>
          </rPr>
          <t xml:space="preserve">
Ejecución en 3 años de $80,000 del Plan de Adquisiciones de apoyo a esta actividad</t>
        </r>
      </text>
    </comment>
    <comment ref="BX17" authorId="0" shapeId="0">
      <text>
        <r>
          <rPr>
            <b/>
            <sz val="9"/>
            <color indexed="81"/>
            <rFont val="Tahoma"/>
            <family val="2"/>
          </rPr>
          <t>Edwin Vega-Araya:</t>
        </r>
        <r>
          <rPr>
            <sz val="9"/>
            <color indexed="81"/>
            <rFont val="Tahoma"/>
            <family val="2"/>
          </rPr>
          <t xml:space="preserve">
4 profesionales 1b de 700.000/mes aproximadamente </t>
        </r>
      </text>
    </comment>
    <comment ref="BX18" authorId="0" shapeId="0">
      <text>
        <r>
          <rPr>
            <b/>
            <sz val="9"/>
            <color indexed="81"/>
            <rFont val="Tahoma"/>
            <family val="2"/>
          </rPr>
          <t>Edwin Vega-Araya:</t>
        </r>
        <r>
          <rPr>
            <sz val="9"/>
            <color indexed="81"/>
            <rFont val="Tahoma"/>
            <family val="2"/>
          </rPr>
          <t xml:space="preserve">
 1/2 tiempo para MGAS, a $4000/mes = $24.000</t>
        </r>
      </text>
    </comment>
    <comment ref="AH19" authorId="0" shapeId="0">
      <text>
        <r>
          <rPr>
            <b/>
            <sz val="9"/>
            <color indexed="81"/>
            <rFont val="Tahoma"/>
            <family val="2"/>
          </rPr>
          <t>Edwin Vega-Araya:</t>
        </r>
        <r>
          <rPr>
            <sz val="9"/>
            <color indexed="81"/>
            <rFont val="Tahoma"/>
            <family val="2"/>
          </rPr>
          <t xml:space="preserve">
El diseño ocurrió en 2016 con recursos de UN-REDD.  Lo que aquí se contempla es el costo de la implementación de algunas de las observaciones.</t>
        </r>
      </text>
    </comment>
    <comment ref="BX19" authorId="0" shapeId="0">
      <text>
        <r>
          <rPr>
            <b/>
            <sz val="9"/>
            <color indexed="81"/>
            <rFont val="Tahoma"/>
            <family val="2"/>
          </rPr>
          <t>Edwin Vega-Araya:</t>
        </r>
        <r>
          <rPr>
            <sz val="9"/>
            <color indexed="81"/>
            <rFont val="Tahoma"/>
            <family val="2"/>
          </rPr>
          <t xml:space="preserve">
Contempla viajes al exterior $20.000 entre viáticos y transporte + publicidad unos $10.000 + mesa negocios + contrato para desarrollar proyecto (20.000) = $55.000.  Se haría cada 2 años:en 2017, 2019 y 2021.  Estos últimos 2 años sería 15.000 (viajes) + 10.000 (publicidad) + 20.000 (contrato diseño proyectos)</t>
        </r>
      </text>
    </comment>
    <comment ref="BX20" authorId="0" shapeId="0">
      <text>
        <r>
          <rPr>
            <b/>
            <sz val="9"/>
            <color indexed="81"/>
            <rFont val="Tahoma"/>
            <family val="2"/>
          </rPr>
          <t>Edwin Vega-Araya:</t>
        </r>
        <r>
          <rPr>
            <sz val="9"/>
            <color indexed="81"/>
            <rFont val="Tahoma"/>
            <family val="2"/>
          </rPr>
          <t xml:space="preserve">
Consiste en el apoyo a través del Plan de Adquisiciones del FCPF</t>
        </r>
      </text>
    </comment>
    <comment ref="BX21" authorId="0" shapeId="0">
      <text>
        <r>
          <rPr>
            <b/>
            <sz val="9"/>
            <color indexed="81"/>
            <rFont val="Tahoma"/>
            <family val="2"/>
          </rPr>
          <t>Edwin Vega-Araya:</t>
        </r>
        <r>
          <rPr>
            <sz val="9"/>
            <color indexed="81"/>
            <rFont val="Tahoma"/>
            <family val="2"/>
          </rPr>
          <t xml:space="preserve">
Se estima que las actividades impliquen un gasto anual de $10.000</t>
        </r>
      </text>
    </comment>
    <comment ref="AH22" authorId="0" shapeId="0">
      <text>
        <r>
          <rPr>
            <sz val="9"/>
            <color indexed="81"/>
            <rFont val="Tahoma"/>
            <family val="2"/>
          </rPr>
          <t>Ya se cuenta con la propuesta de SIS, se ocupa definir los indicadores finales a monitorear identificando si los mismos ya son generados por alguna institución, sino en caso contrario costo de generarlo e identificación del responsable.</t>
        </r>
      </text>
    </comment>
    <comment ref="BX22" authorId="0" shapeId="0">
      <text>
        <r>
          <rPr>
            <b/>
            <sz val="9"/>
            <color indexed="81"/>
            <rFont val="Tahoma"/>
            <family val="2"/>
          </rPr>
          <t>Edwin Vega-Araya:</t>
        </r>
        <r>
          <rPr>
            <sz val="9"/>
            <color indexed="81"/>
            <rFont val="Tahoma"/>
            <family val="2"/>
          </rPr>
          <t xml:space="preserve">
Por ahora se estima que ya los indicadores se generan en las instituciones por lo que se gastará 1/8 tiempo profesional en seguimiento e informes.</t>
        </r>
      </text>
    </comment>
    <comment ref="AH23" authorId="0" shapeId="0">
      <text>
        <r>
          <rPr>
            <b/>
            <sz val="9"/>
            <color indexed="81"/>
            <rFont val="Tahoma"/>
            <family val="2"/>
          </rPr>
          <t>Edwin Vega-Araya:</t>
        </r>
        <r>
          <rPr>
            <sz val="9"/>
            <color indexed="81"/>
            <rFont val="Tahoma"/>
            <family val="2"/>
          </rPr>
          <t xml:space="preserve">
OJO ESTÁ INCLUIDA ABAJO</t>
        </r>
      </text>
    </comment>
    <comment ref="BX23" authorId="0" shapeId="0">
      <text>
        <r>
          <rPr>
            <b/>
            <sz val="9"/>
            <color indexed="81"/>
            <rFont val="Tahoma"/>
            <family val="2"/>
          </rPr>
          <t>Edwin Vega-Araya:</t>
        </r>
        <r>
          <rPr>
            <sz val="9"/>
            <color indexed="81"/>
            <rFont val="Tahoma"/>
            <family val="2"/>
          </rPr>
          <t xml:space="preserve">
1/8 tiempo profesional en Ciencias sociales para MIRI a $4000/mes</t>
        </r>
      </text>
    </comment>
    <comment ref="BX25"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CH25"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N26"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BX26" authorId="0" shapeId="0">
      <text>
        <r>
          <rPr>
            <b/>
            <sz val="9"/>
            <color indexed="81"/>
            <rFont val="Tahoma"/>
            <family val="2"/>
          </rPr>
          <t>Edwin Vega-Araya:</t>
        </r>
        <r>
          <rPr>
            <sz val="9"/>
            <color indexed="81"/>
            <rFont val="Tahoma"/>
            <family val="2"/>
          </rPr>
          <t xml:space="preserve">
Costo por evento de capacitación 300,000 colones </t>
        </r>
      </text>
    </comment>
    <comment ref="BX27" authorId="0" shapeId="0">
      <text>
        <r>
          <rPr>
            <b/>
            <sz val="9"/>
            <color indexed="81"/>
            <rFont val="Tahoma"/>
            <family val="2"/>
          </rPr>
          <t>Edwin Vega-Araya:</t>
        </r>
        <r>
          <rPr>
            <sz val="9"/>
            <color indexed="81"/>
            <rFont val="Tahoma"/>
            <family val="2"/>
          </rPr>
          <t xml:space="preserve">
Lobby político $1000/año</t>
        </r>
      </text>
    </comment>
    <comment ref="BX28" authorId="0" shapeId="0">
      <text>
        <r>
          <rPr>
            <b/>
            <sz val="9"/>
            <color indexed="81"/>
            <rFont val="Tahoma"/>
            <family val="2"/>
          </rPr>
          <t>Edwin Vega-Araya:</t>
        </r>
        <r>
          <rPr>
            <sz val="9"/>
            <color indexed="81"/>
            <rFont val="Tahoma"/>
            <family val="2"/>
          </rPr>
          <t xml:space="preserve">
No se estima costo pues se requiere una directriz del Ministro, más que en lobby político $1000/año</t>
        </r>
      </text>
    </comment>
    <comment ref="AH29" authorId="0" shapeId="0">
      <text>
        <r>
          <rPr>
            <b/>
            <sz val="9"/>
            <color indexed="81"/>
            <rFont val="Tahoma"/>
            <family val="2"/>
          </rPr>
          <t>Edwin Vega-Araya:</t>
        </r>
        <r>
          <rPr>
            <sz val="9"/>
            <color indexed="81"/>
            <rFont val="Tahoma"/>
            <family val="2"/>
          </rPr>
          <t xml:space="preserve">
Solo se considera el acercamiento de REDD a las municipalidades como inicio del proceso para que el IFAM y las municipalidades desarrollen proyectos REDD+.</t>
        </r>
      </text>
    </comment>
    <comment ref="BX29" authorId="0" shapeId="0">
      <text>
        <r>
          <rPr>
            <b/>
            <sz val="9"/>
            <color indexed="81"/>
            <rFont val="Tahoma"/>
            <family val="2"/>
          </rPr>
          <t>Edwin Vega-Araya:</t>
        </r>
        <r>
          <rPr>
            <sz val="9"/>
            <color indexed="81"/>
            <rFont val="Tahoma"/>
            <family val="2"/>
          </rPr>
          <t xml:space="preserve">
Se estima desarrollar con fondos de la Preparación (plan de adquisiciones) dentro del contrato del Apoyo Social de la Secretaría. (1/4 del tiempo del consultor en ese año)</t>
        </r>
      </text>
    </comment>
    <comment ref="N31"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P31" authorId="0" shapeId="0">
      <text>
        <r>
          <rPr>
            <b/>
            <sz val="9"/>
            <color indexed="81"/>
            <rFont val="Tahoma"/>
            <family val="2"/>
          </rPr>
          <t>Edwin Vega-Araya:</t>
        </r>
        <r>
          <rPr>
            <sz val="9"/>
            <color indexed="81"/>
            <rFont val="Tahoma"/>
            <family val="2"/>
          </rPr>
          <t xml:space="preserve">
SONIA, DOCUMENTO DE MARLEN, QUE LA SOCIEDAD SEPA QUE HAY ORDENAMIENTO TERRRITORIAL.  Ella hizo un mapa de zonificación.</t>
        </r>
      </text>
    </comment>
    <comment ref="AI31" authorId="0" shapeId="0">
      <text>
        <r>
          <rPr>
            <b/>
            <sz val="9"/>
            <color indexed="81"/>
            <rFont val="Tahoma"/>
            <family val="2"/>
          </rPr>
          <t>Edwin Vega-Araya:</t>
        </r>
        <r>
          <rPr>
            <sz val="9"/>
            <color indexed="81"/>
            <rFont val="Tahoma"/>
            <family val="2"/>
          </rPr>
          <t xml:space="preserve">
Es una media de los últimos 4 años, aunque los últimos dos ha bajado: 2014 3495
2015 2330
</t>
        </r>
      </text>
    </comment>
    <comment ref="BJ31"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BX31"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N32"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P32" authorId="0" shapeId="0">
      <text>
        <r>
          <rPr>
            <b/>
            <sz val="9"/>
            <color indexed="81"/>
            <rFont val="Tahoma"/>
            <family val="2"/>
          </rPr>
          <t>Edwin Vega-Araya:</t>
        </r>
        <r>
          <rPr>
            <sz val="9"/>
            <color indexed="81"/>
            <rFont val="Tahoma"/>
            <family val="2"/>
          </rPr>
          <t xml:space="preserve">
Faltaría agregar el costo de seguimiento que es la pesona que va metiendo la información y el soporte informático donde va a estar que esté sostenido y no se caiga (Servidor y capacidad del servidor). Consultar a María Isabel. Con el Plan de Adquisiciones se hace la inversión, pero la operación (seguimiento o monitoreo) falta de incluirlo.  Actualmente la institución le paga a ADDAX.</t>
        </r>
      </text>
    </comment>
    <comment ref="AH32" authorId="0" shapeId="0">
      <text>
        <r>
          <rPr>
            <b/>
            <sz val="9"/>
            <color indexed="81"/>
            <rFont val="Tahoma"/>
            <family val="2"/>
          </rPr>
          <t>Edwin Vega-Araya:</t>
        </r>
        <r>
          <rPr>
            <sz val="9"/>
            <color indexed="81"/>
            <rFont val="Tahoma"/>
            <family val="2"/>
          </rPr>
          <t xml:space="preserve">
La meta es que esta relación se vaya reduciendo en el tiempo.  Lo que hay que mejorar es la parte de la vigilancia en la industria pues la parte de los permisos si es más confiable.  
Los m3 de madera en permisos se publican anualmente en el informe SEMEC de SINAC, en los permisos de aprovechamiento maderable.
Los m3 de madera en industria del cuadro de volumen reportado en centros de aserrío.</t>
        </r>
      </text>
    </comment>
    <comment ref="BI32" authorId="0" shapeId="0">
      <text>
        <r>
          <rPr>
            <b/>
            <sz val="9"/>
            <color indexed="81"/>
            <rFont val="Tahoma"/>
            <family val="2"/>
          </rPr>
          <t>Edwin Vega-Araya:</t>
        </r>
        <r>
          <rPr>
            <sz val="9"/>
            <color indexed="81"/>
            <rFont val="Tahoma"/>
            <family val="2"/>
          </rPr>
          <t xml:space="preserve">
Supuestos:
un promedio de (1 profesional medio tiempo + 1 técnico tiempo completo + funcionarios de control a 1/2 tiempo) por oficina subregional y son 33 oficinas.
Salario del profesionas = 1.2
00.000
Salario del técnico = 800.000
Salario del funcionario del control=600.000
Gasto mensual 8 viáticos el técnico, 12 los de control, a 5.150 el viático.
Equipo: gasolina: 12x5000 + equipo 10.000/mes.</t>
        </r>
      </text>
    </comment>
    <comment ref="BX32" authorId="0" shapeId="0">
      <text>
        <r>
          <rPr>
            <b/>
            <sz val="9"/>
            <color indexed="81"/>
            <rFont val="Tahoma"/>
            <family val="2"/>
          </rPr>
          <t>Edwin Vega-Araya:</t>
        </r>
        <r>
          <rPr>
            <sz val="9"/>
            <color indexed="81"/>
            <rFont val="Tahoma"/>
            <family val="2"/>
          </rPr>
          <t xml:space="preserve">
Supuestos:
un promedio de (1 profesional medio tiempo + 1 técnico tiempo completo Y OTRO A MEDIO TIEMPO + 2 funcionarios de control a TIEMPO COMPLETO ) por oficina subregional y son 33 oficinas.
Salario del profesionas = 1.200.000
Salario del técnico = 800.000
Salario del funcionario del control=600.000
Gasto mensual 12 viáticos el técnico, 24 los de control, a 5.150 el viático.
Equipo: gasolina: 24x5000 + equipo 15.000/mes.</t>
        </r>
      </text>
    </comment>
    <comment ref="N33"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BY33" authorId="0" shapeId="0">
      <text>
        <r>
          <rPr>
            <b/>
            <sz val="9"/>
            <color indexed="81"/>
            <rFont val="Tahoma"/>
            <family val="2"/>
          </rPr>
          <t>Edwin Vega-Araya:</t>
        </r>
        <r>
          <rPr>
            <sz val="9"/>
            <color indexed="81"/>
            <rFont val="Tahoma"/>
            <family val="2"/>
          </rPr>
          <t xml:space="preserve">
Se acumulan los del año anterior con los nuevos</t>
        </r>
      </text>
    </comment>
    <comment ref="N34"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AI34" authorId="0" shapeId="0">
      <text>
        <r>
          <rPr>
            <b/>
            <sz val="9"/>
            <color indexed="81"/>
            <rFont val="Tahoma"/>
            <family val="2"/>
          </rPr>
          <t>Edwin Vega-Araya:</t>
        </r>
        <r>
          <rPr>
            <sz val="9"/>
            <color indexed="81"/>
            <rFont val="Tahoma"/>
            <family val="2"/>
          </rPr>
          <t xml:space="preserve">
En 2 años de proyecto (Ver Folleto Divulgativode CADETI)</t>
        </r>
      </text>
    </comment>
    <comment ref="AJ34" authorId="0" shapeId="0">
      <text>
        <r>
          <rPr>
            <b/>
            <sz val="9"/>
            <color indexed="81"/>
            <rFont val="Tahoma"/>
            <family val="2"/>
          </rPr>
          <t>Edwin Vega-Araya:</t>
        </r>
        <r>
          <rPr>
            <sz val="9"/>
            <color indexed="81"/>
            <rFont val="Tahoma"/>
            <family val="2"/>
          </rPr>
          <t xml:space="preserve">
Como habrá más recursos se puede casi duplicar la atención por año</t>
        </r>
      </text>
    </comment>
    <comment ref="BJ34" authorId="0" shapeId="0">
      <text>
        <r>
          <rPr>
            <b/>
            <sz val="9"/>
            <color indexed="81"/>
            <rFont val="Tahoma"/>
            <family val="2"/>
          </rPr>
          <t>Edwin Vega-Araya:</t>
        </r>
        <r>
          <rPr>
            <sz val="9"/>
            <color indexed="81"/>
            <rFont val="Tahoma"/>
            <family val="2"/>
          </rPr>
          <t xml:space="preserve">
MANO DE OBRA ESTATAL:
Actualmente SINAC tiene 2 profesionales tiempo completo en CADETI (1200000*2*13 = 31,200,000). 
+ en el MAG hay 2 profesionales tiempo completo (31,200,000) 
+ 3 del INTA de 1/4 de tiempo que dedican (1200000*3*13/4 = 11,700,000) 
+ 5 del MAG en el campo que hacen los planes de finca y los proyectos (1/2 tiempo del proyecto con sus viáticos correspondientes: 750,000*5*13/2 = 24,375,000)
TOTAL = 98,475,000 colones.
FONDOS DISPONIBLES PARA FINCAS: 
$2,600,000 - 30% del 2017 al 2019 
$650,000 - 30% del 2020 al 2025</t>
        </r>
      </text>
    </comment>
    <comment ref="BX34" authorId="0" shapeId="0">
      <text>
        <r>
          <rPr>
            <b/>
            <sz val="9"/>
            <color indexed="81"/>
            <rFont val="Tahoma"/>
            <family val="2"/>
          </rPr>
          <t>Edwin Vega-Araya:</t>
        </r>
        <r>
          <rPr>
            <sz val="9"/>
            <color indexed="81"/>
            <rFont val="Tahoma"/>
            <family val="2"/>
          </rPr>
          <t xml:space="preserve">
El personal más o menos sería el mismo para operar el proyecto.  La parte importante sería el dinero adicional para los años en que no se cuenta financiamiento.  Tal vez algo de reforzar extensión propiamente en SINAC pues se ha perdido.</t>
        </r>
      </text>
    </comment>
    <comment ref="CA34" authorId="0" shapeId="0">
      <text>
        <r>
          <rPr>
            <b/>
            <sz val="9"/>
            <color indexed="81"/>
            <rFont val="Tahoma"/>
            <family val="2"/>
          </rPr>
          <t>Edwin Vega-Araya:</t>
        </r>
        <r>
          <rPr>
            <sz val="9"/>
            <color indexed="81"/>
            <rFont val="Tahoma"/>
            <family val="2"/>
          </rPr>
          <t xml:space="preserve">
Se aportarían $2,000,000 durante 3 años.</t>
        </r>
      </text>
    </comment>
    <comment ref="CD34" authorId="0" shapeId="0">
      <text>
        <r>
          <rPr>
            <b/>
            <sz val="9"/>
            <color indexed="81"/>
            <rFont val="Tahoma"/>
            <family val="2"/>
          </rPr>
          <t>Edwin Vega-Araya:</t>
        </r>
        <r>
          <rPr>
            <sz val="9"/>
            <color indexed="81"/>
            <rFont val="Tahoma"/>
            <family val="2"/>
          </rPr>
          <t xml:space="preserve">
Se aportarían $2,000,000 durante 3 años.</t>
        </r>
      </text>
    </comment>
    <comment ref="N35"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BJ36" authorId="2" shapeId="0">
      <text>
        <r>
          <rPr>
            <b/>
            <sz val="9"/>
            <color indexed="81"/>
            <rFont val="Tahoma"/>
            <family val="2"/>
          </rPr>
          <t>José Joaquin Calvo Domingo:</t>
        </r>
        <r>
          <rPr>
            <sz val="9"/>
            <color indexed="81"/>
            <rFont val="Tahoma"/>
            <family val="2"/>
          </rPr>
          <t xml:space="preserve">
Este año se realizaron 6 planaes de manejo con financiamiento externo, mas  o menos se pueden hacer un promedio de 3 al año tambien con fondos externos, el costo de cada actualoizcion anda cerca de los 15,000 dolares.</t>
        </r>
      </text>
    </comment>
    <comment ref="N37"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AI37" authorId="0" shapeId="0">
      <text>
        <r>
          <rPr>
            <b/>
            <sz val="9"/>
            <color indexed="81"/>
            <rFont val="Tahoma"/>
            <family val="2"/>
          </rPr>
          <t>Edwin Vega-Araya:</t>
        </r>
        <r>
          <rPr>
            <sz val="9"/>
            <color indexed="81"/>
            <rFont val="Tahoma"/>
            <family val="2"/>
          </rPr>
          <t xml:space="preserve">
No ha salido el decreto.  Cuando salga se inicia el conteo del indicador.</t>
        </r>
      </text>
    </comment>
    <comment ref="AU37" authorId="0" shapeId="0">
      <text>
        <r>
          <rPr>
            <b/>
            <sz val="9"/>
            <color indexed="81"/>
            <rFont val="Tahoma"/>
            <family val="2"/>
          </rPr>
          <t>Edwin Vega-Araya:</t>
        </r>
        <r>
          <rPr>
            <sz val="9"/>
            <color indexed="81"/>
            <rFont val="Tahoma"/>
            <family val="2"/>
          </rPr>
          <t xml:space="preserve">
Se espera que con divulgación y publicidad del decreto se incrementen las solicitudes</t>
        </r>
      </text>
    </comment>
    <comment ref="BJ37"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t>
        </r>
      </text>
    </comment>
    <comment ref="BX37"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
Además incluye $10,000 de publicidad del decreto durante 2 años solamente.</t>
        </r>
      </text>
    </comment>
    <comment ref="AI38" authorId="0" shapeId="0">
      <text>
        <r>
          <rPr>
            <b/>
            <sz val="9"/>
            <color indexed="81"/>
            <rFont val="Tahoma"/>
            <family val="2"/>
          </rPr>
          <t>Edwin Vega-Araya:</t>
        </r>
        <r>
          <rPr>
            <sz val="9"/>
            <color indexed="81"/>
            <rFont val="Tahoma"/>
            <family val="2"/>
          </rPr>
          <t xml:space="preserve">
son 232 fincas y consiste las registradas con INDER que totalizan 4309 ha.
Es posible que falten unas 900 por transferir.</t>
        </r>
      </text>
    </comment>
    <comment ref="AU38" authorId="0" shapeId="0">
      <text>
        <r>
          <rPr>
            <b/>
            <sz val="9"/>
            <color indexed="81"/>
            <rFont val="Tahoma"/>
            <family val="2"/>
          </rPr>
          <t>Edwin Vega-Araya:</t>
        </r>
        <r>
          <rPr>
            <sz val="9"/>
            <color indexed="81"/>
            <rFont val="Tahoma"/>
            <family val="2"/>
          </rPr>
          <t xml:space="preserve">
La mejora es en la calidad de las tierras que son tranferidas y que tienen potencial REDD+</t>
        </r>
      </text>
    </comment>
    <comment ref="BX38" authorId="0" shapeId="0">
      <text>
        <r>
          <rPr>
            <b/>
            <sz val="9"/>
            <color indexed="81"/>
            <rFont val="Tahoma"/>
            <family val="2"/>
          </rPr>
          <t>Edwin Vega-Araya:</t>
        </r>
        <r>
          <rPr>
            <sz val="9"/>
            <color indexed="81"/>
            <rFont val="Tahoma"/>
            <family val="2"/>
          </rPr>
          <t xml:space="preserve">
se quiere pasar de 4 a 10 topógrafos en un lapso de 6 años (de 2018 a 2023) y se mantienen luego.   1.000.000 al mes más un 500.000 al mes de viáticos.
Anualmente = 1,000,000*13 + 500,000*12 = 19,000,000</t>
        </r>
      </text>
    </comment>
    <comment ref="B39" authorId="0" shapeId="0">
      <text>
        <r>
          <rPr>
            <b/>
            <sz val="9"/>
            <color indexed="81"/>
            <rFont val="Tahoma"/>
            <family val="2"/>
          </rPr>
          <t>Edwin Vega-Araya:</t>
        </r>
        <r>
          <rPr>
            <sz val="9"/>
            <color indexed="81"/>
            <rFont val="Tahoma"/>
            <family val="2"/>
          </rPr>
          <t xml:space="preserve">
Revisar porque debería ser la ONF ya que con la preparación hay $582.000 para fortalecer los modelos de negocio y no se visualiza.</t>
        </r>
      </text>
    </comment>
    <comment ref="N39"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AU39" authorId="0" shapeId="0">
      <text>
        <r>
          <rPr>
            <b/>
            <sz val="9"/>
            <color indexed="81"/>
            <rFont val="Tahoma"/>
            <family val="2"/>
          </rPr>
          <t>Edwin Vega-Araya:</t>
        </r>
        <r>
          <rPr>
            <sz val="9"/>
            <color indexed="81"/>
            <rFont val="Tahoma"/>
            <family val="2"/>
          </rPr>
          <t xml:space="preserve">
Basado en el Plan de Adquisiciones segunda donación para REDD+</t>
        </r>
      </text>
    </comment>
    <comment ref="AI40" authorId="0" shapeId="0">
      <text>
        <r>
          <rPr>
            <b/>
            <sz val="9"/>
            <color indexed="81"/>
            <rFont val="Tahoma"/>
            <family val="2"/>
          </rPr>
          <t>Edwin Vega-Araya:</t>
        </r>
        <r>
          <rPr>
            <sz val="9"/>
            <color indexed="81"/>
            <rFont val="Tahoma"/>
            <family val="2"/>
          </rPr>
          <t xml:space="preserve">
El indicador de resultado es el mismo con y sin REDD+ pero la calidad (y costo) de la campaña cambia en una y otra situación.</t>
        </r>
      </text>
    </comment>
    <comment ref="BI40" authorId="0" shapeId="0">
      <text>
        <r>
          <rPr>
            <b/>
            <sz val="9"/>
            <color indexed="81"/>
            <rFont val="Tahoma"/>
            <family val="2"/>
          </rPr>
          <t>Edwin Vega-Araya:</t>
        </r>
        <r>
          <rPr>
            <sz val="9"/>
            <color indexed="81"/>
            <rFont val="Tahoma"/>
            <family val="2"/>
          </rPr>
          <t xml:space="preserve">
Es un costo de campaña para las condiciones básicas.</t>
        </r>
      </text>
    </comment>
    <comment ref="N41"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AI41" authorId="0" shapeId="0">
      <text>
        <r>
          <rPr>
            <b/>
            <sz val="9"/>
            <color indexed="81"/>
            <rFont val="Tahoma"/>
            <family val="2"/>
          </rPr>
          <t>Edwin Vega-Araya:</t>
        </r>
        <r>
          <rPr>
            <sz val="9"/>
            <color indexed="81"/>
            <rFont val="Tahoma"/>
            <family val="2"/>
          </rPr>
          <t xml:space="preserve">
Son todas las brigadas actuales.  De esas algunas les falta seguimiento.</t>
        </r>
      </text>
    </comment>
    <comment ref="BI41" authorId="0" shapeId="0">
      <text>
        <r>
          <rPr>
            <b/>
            <sz val="9"/>
            <color indexed="81"/>
            <rFont val="Tahoma"/>
            <family val="2"/>
          </rPr>
          <t>Edwin Vega-Araya:</t>
        </r>
        <r>
          <rPr>
            <sz val="9"/>
            <color indexed="81"/>
            <rFont val="Tahoma"/>
            <family val="2"/>
          </rPr>
          <t xml:space="preserve">
Capacitación +- 150000 por persona
Seguimiento (una visita mensual) +- 15150 * 12 = 181.800
Equipamiento (a cada persona) 180.000 en el primer año del equipo completo + en los siguientes años hay que dar adicionales 68.000 cada tres años. 
Tenemos actualmente 300 bomberos forestales equipados bien.  Se quiere llegar a 1000 con el seguimiento.  Sin REDD solo se alcanzaría 700.</t>
        </r>
      </text>
    </comment>
    <comment ref="BJ41" authorId="0" shapeId="0">
      <text>
        <r>
          <rPr>
            <b/>
            <sz val="9"/>
            <color indexed="81"/>
            <rFont val="Tahoma"/>
            <family val="2"/>
          </rPr>
          <t>Edwin Vega-Araya:</t>
        </r>
        <r>
          <rPr>
            <sz val="9"/>
            <color indexed="81"/>
            <rFont val="Tahoma"/>
            <family val="2"/>
          </rPr>
          <t xml:space="preserve">
Los 15.000.000 de capacitación es por capacitar 200 personas por año a un costo de 75.000 por persona.</t>
        </r>
      </text>
    </comment>
    <comment ref="BX41" authorId="0" shapeId="0">
      <text>
        <r>
          <rPr>
            <b/>
            <sz val="9"/>
            <color indexed="81"/>
            <rFont val="Tahoma"/>
            <family val="2"/>
          </rPr>
          <t>Edwin Vega-Araya:</t>
        </r>
        <r>
          <rPr>
            <sz val="9"/>
            <color indexed="81"/>
            <rFont val="Tahoma"/>
            <family val="2"/>
          </rPr>
          <t xml:space="preserve">
En este caso el seguimiento incluye además la capacitación de 500 personas por año a un costo de 75.000 por persona = 37.500.000 de capacitación.
</t>
        </r>
      </text>
    </comment>
    <comment ref="AH42" authorId="0" shapeId="0">
      <text>
        <r>
          <rPr>
            <b/>
            <sz val="9"/>
            <color indexed="81"/>
            <rFont val="Tahoma"/>
            <family val="2"/>
          </rPr>
          <t>Edwin Vega-Araya:</t>
        </r>
        <r>
          <rPr>
            <sz val="9"/>
            <color indexed="81"/>
            <rFont val="Tahoma"/>
            <family val="2"/>
          </rPr>
          <t xml:space="preserve">
El enfoque es monitoreo, pj actualmente con el proyecto MAPCOBIO con un componente de monitoreo participativo con cámaras trampa y se podría ampliar a indígenas.  La interpretación de datos implica pensar en la contratación de especialista puntual en algunos puntos en el tiempo.
Además otros componentes sería 1. la sistematización de lo que se ha hecho SINAC-INDÍGENAS y 2. la elaboración de planes de gestión comunitarios del manejo del bosque.</t>
        </r>
      </text>
    </comment>
    <comment ref="AI42" authorId="0" shapeId="0">
      <text>
        <r>
          <rPr>
            <b/>
            <sz val="9"/>
            <color indexed="81"/>
            <rFont val="Tahoma"/>
            <family val="2"/>
          </rPr>
          <t>Edwin Vega-Araya:</t>
        </r>
        <r>
          <rPr>
            <sz val="9"/>
            <color indexed="81"/>
            <rFont val="Tahoma"/>
            <family val="2"/>
          </rPr>
          <t xml:space="preserve">
Meta para 2017 es apenas diagnosticar qué ha hecho SINAC en el tema indígena.
Hay un proyecto del tema indígena con CONAGEBIO donde se definen las prioridades de la Est. De Biodiversidad en la parte de sistematización y gobernanza y elaboración de 2 planes de gestión.
</t>
        </r>
      </text>
    </comment>
    <comment ref="AJ42" authorId="0" shapeId="0">
      <text>
        <r>
          <rPr>
            <b/>
            <sz val="9"/>
            <color indexed="81"/>
            <rFont val="Tahoma"/>
            <family val="2"/>
          </rPr>
          <t>Edwin Vega-Araya:</t>
        </r>
        <r>
          <rPr>
            <sz val="9"/>
            <color indexed="81"/>
            <rFont val="Tahoma"/>
            <family val="2"/>
          </rPr>
          <t xml:space="preserve">
No se alcanza a desarrollar el modelo en el año en la situación actual, se estima avance de 25%.</t>
        </r>
      </text>
    </comment>
    <comment ref="AU42" authorId="3" shapeId="0">
      <text>
        <r>
          <rPr>
            <b/>
            <sz val="9"/>
            <color indexed="81"/>
            <rFont val="Tahoma"/>
            <family val="2"/>
          </rPr>
          <t>Magally Castro Alvarez:</t>
        </r>
        <r>
          <rPr>
            <sz val="9"/>
            <color indexed="81"/>
            <rFont val="Tahoma"/>
            <family val="2"/>
          </rPr>
          <t xml:space="preserve">
Se espera en este año capacitar al personal del SINAC, FONAFIFO Y CONAGEBIO en sistematización de experiencias, y crear capacidades para trabajo en territorios indigenas.  Asi como elaboración de dignóstico y sistematización de acciones desarrolladas por las instituciones mencionadas y los usos tradicionales de la biodiversidad y bosques que desarrollan los indigenas.
</t>
        </r>
        <r>
          <rPr>
            <b/>
            <sz val="9"/>
            <color indexed="81"/>
            <rFont val="Tahoma"/>
            <family val="2"/>
          </rPr>
          <t xml:space="preserve">Edwin Vega-Araya:
</t>
        </r>
        <r>
          <rPr>
            <sz val="9"/>
            <color indexed="81"/>
            <rFont val="Tahoma"/>
            <family val="2"/>
          </rPr>
          <t>La mejora es principalmente cualititativa entre un sistema de monitoreo sin REDD+ y otro con REDD+.</t>
        </r>
      </text>
    </comment>
    <comment ref="BI42" authorId="3" shapeId="0">
      <text>
        <r>
          <rPr>
            <b/>
            <sz val="9"/>
            <color indexed="81"/>
            <rFont val="Tahoma"/>
            <family val="2"/>
          </rPr>
          <t>Magally Castro Alvarez:</t>
        </r>
        <r>
          <rPr>
            <sz val="9"/>
            <color indexed="81"/>
            <rFont val="Tahoma"/>
            <family val="2"/>
          </rPr>
          <t xml:space="preserve">
Implica salario de 4 compañeros que han trabajado en el año con temas indigenas y contrapartida del proyecto MAPCOBIO por sistematización de un proyecto en un territorio indigena </t>
        </r>
      </text>
    </comment>
    <comment ref="BJ42" authorId="3" shapeId="0">
      <text>
        <r>
          <rPr>
            <b/>
            <sz val="9"/>
            <color indexed="81"/>
            <rFont val="Tahoma"/>
            <family val="2"/>
          </rPr>
          <t>Magally Castro Alvarez:</t>
        </r>
        <r>
          <rPr>
            <sz val="9"/>
            <color indexed="81"/>
            <rFont val="Tahoma"/>
            <family val="2"/>
          </rPr>
          <t xml:space="preserve">
En cada año se está incluyendo salarios y combustible de 4 funcionarios en 4 AC.  Que incluye acciones aisladas de gestión en territorios indigenas hacia la conservación y uso sostenible de la biodiversidad  (en muy pequeña escala)</t>
        </r>
      </text>
    </comment>
    <comment ref="BK42" authorId="3" shapeId="0">
      <text>
        <r>
          <rPr>
            <b/>
            <sz val="9"/>
            <color indexed="81"/>
            <rFont val="Tahoma"/>
            <family val="2"/>
          </rPr>
          <t>Magally Castro Alvarez:</t>
        </r>
        <r>
          <rPr>
            <sz val="9"/>
            <color indexed="81"/>
            <rFont val="Tahoma"/>
            <family val="2"/>
          </rPr>
          <t xml:space="preserve">
Incluye lo expuesto en el punto anterior (año 2017).  Más fondos para dos talleres con el objetivo de sistematizar lo que SINAC ha realizado en dos territorios indigenas.  Implica un proceso interno 
</t>
        </r>
      </text>
    </comment>
    <comment ref="BX42" authorId="3" shapeId="0">
      <text>
        <r>
          <rPr>
            <b/>
            <sz val="9"/>
            <color indexed="81"/>
            <rFont val="Tahoma"/>
            <family val="2"/>
          </rPr>
          <t>Magally Castro Alvarez:</t>
        </r>
        <r>
          <rPr>
            <sz val="9"/>
            <color indexed="81"/>
            <rFont val="Tahoma"/>
            <family val="2"/>
          </rPr>
          <t xml:space="preserve">
Incluye:
- 15.000.000 para capacitación del personal del SINAC, CONAGEBIO Y FONAFIFO para sistematizar experiencias en TI.  Además capacitar en herramientas para trabajo con territorios indigenas tales como (comunicación asertiva, resolución de conflictos, cultura y tradiciones indígenas, legislación entre otros).  Incluye elaboración e impresión de manual de capacitación. 
- 5.500.000 para sistematizar lo que ha hecho o dirigido el SINAC, FONAFICO Y CONAGEBIO en 8 territorios indigenas en los ultimos cinco años. (inlcuye el diagnóstico, talleres e impresión de documento final.
- 13.700.0000 para diagnóstico y sistematización de 8 territorios indigenas el uso tradicional  de la biodiversidad y del bosque (inlcuye impresión de documento final)</t>
        </r>
      </text>
    </comment>
    <comment ref="BY42" authorId="3"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4.700.000 para un modulo de capacitación a TI sobre (biodiversidad, cambios climático, GIRH, bosques, legislacion ambiental)
- 4.400.000 para conformar dos grupos de COVIRENAS y monitoreo
 participativo 
- 13.750.000 para definir y establecer un sistema de monitoreo participativo con camara trampa para 4 territorios indigenas 
- 8.625.000 para comprar camaras y demas equipo para el monitoreo para dos TI 
- 
</t>
        </r>
      </text>
    </comment>
    <comment ref="BZ42" authorId="3"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 analisis de datos y capacitar al SINAC para continuarlos </t>
        </r>
      </text>
    </comment>
    <comment ref="CA42" authorId="3"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- 11.0000.000 Analisis de datos y capacitar al 
personal del SINAC para continuarlos 
-22.000.000 presentar en la COP DE BIODIVERSIDAD el trabajo de CR con territorios infigenas</t>
        </r>
      </text>
    </comment>
    <comment ref="CC42" authorId="3" shapeId="0">
      <text>
        <r>
          <rPr>
            <b/>
            <sz val="9"/>
            <color indexed="81"/>
            <rFont val="Tahoma"/>
            <family val="2"/>
          </rPr>
          <t>Magally Castro Alvarez:</t>
        </r>
        <r>
          <rPr>
            <sz val="9"/>
            <color indexed="81"/>
            <rFont val="Tahoma"/>
            <family val="2"/>
          </rPr>
          <t xml:space="preserve">
Incluye: 
- 5.000.000 para elaborar un plan de manejo comunitario de usos tradicionales de la biodiversidad y bosques en un territorio indigena (modelo de gobernanza)
- 2.000.000 para conformar dos grupos de COVIRENAS y monitoreo
 participativo  
- 4.400.000 para comprar camaras y demas equipo para el monitoreo para dos TI. y 
</t>
        </r>
      </text>
    </comment>
    <comment ref="N43"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AI43" authorId="0" shapeId="0">
      <text>
        <r>
          <rPr>
            <b/>
            <sz val="9"/>
            <color indexed="81"/>
            <rFont val="Tahoma"/>
            <family val="2"/>
          </rPr>
          <t>Edwin Vega-Araya:</t>
        </r>
        <r>
          <rPr>
            <sz val="9"/>
            <color indexed="81"/>
            <rFont val="Tahoma"/>
            <family val="2"/>
          </rPr>
          <t xml:space="preserve">
Ya se cuenta con el estudio desarrollado por WCMC-PNUMA en 2016</t>
        </r>
      </text>
    </comment>
    <comment ref="AU43" authorId="0" shapeId="0">
      <text>
        <r>
          <rPr>
            <b/>
            <sz val="9"/>
            <color indexed="81"/>
            <rFont val="Tahoma"/>
            <family val="2"/>
          </rPr>
          <t>Edwin Vega-Araya:</t>
        </r>
        <r>
          <rPr>
            <sz val="9"/>
            <color indexed="81"/>
            <rFont val="Tahoma"/>
            <family val="2"/>
          </rPr>
          <t xml:space="preserve">
considera los esfuerzos de validación. Un taller.</t>
        </r>
      </text>
    </comment>
    <comment ref="BX43" authorId="0" shapeId="0">
      <text>
        <r>
          <rPr>
            <b/>
            <sz val="9"/>
            <color indexed="81"/>
            <rFont val="Tahoma"/>
            <family val="2"/>
          </rPr>
          <t>Edwin Vega-Araya:</t>
        </r>
        <r>
          <rPr>
            <sz val="9"/>
            <color indexed="81"/>
            <rFont val="Tahoma"/>
            <family val="2"/>
          </rPr>
          <t xml:space="preserve">
Taller de validación de zonas prioritarias para REDD+</t>
        </r>
      </text>
    </comment>
    <comment ref="N44"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BV44" authorId="4" shapeId="0">
      <text>
        <r>
          <rPr>
            <b/>
            <sz val="9"/>
            <color indexed="81"/>
            <rFont val="Tahoma"/>
            <family val="2"/>
          </rPr>
          <t>Carlos Varela Jimenez:</t>
        </r>
        <r>
          <rPr>
            <sz val="9"/>
            <color indexed="81"/>
            <rFont val="Tahoma"/>
            <family val="2"/>
          </rPr>
          <t xml:space="preserve">
Se financia con pagos de la regencia más otros recursos del CIAgro</t>
        </r>
      </text>
    </comment>
    <comment ref="N45"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 ref="O45" authorId="3" shapeId="0">
      <text>
        <r>
          <rPr>
            <b/>
            <sz val="9"/>
            <color indexed="81"/>
            <rFont val="Tahoma"/>
            <family val="2"/>
          </rPr>
          <t>Magally Castro Alvarez:</t>
        </r>
        <r>
          <rPr>
            <sz val="9"/>
            <color indexed="81"/>
            <rFont val="Tahoma"/>
            <family val="2"/>
          </rPr>
          <t xml:space="preserve">
Se busca el empoderamiento de los consejos locales forestales y que sea ellos los que dirijan el tema, en compañía de los encargados de dichos consejos y de los encargados de educación ambiental</t>
        </r>
      </text>
    </comment>
    <comment ref="AH45" authorId="0" shapeId="0">
      <text>
        <r>
          <rPr>
            <b/>
            <sz val="9"/>
            <color indexed="81"/>
            <rFont val="Tahoma"/>
            <family val="2"/>
          </rPr>
          <t>Edwin Vega-Araya:</t>
        </r>
        <r>
          <rPr>
            <sz val="9"/>
            <color indexed="81"/>
            <rFont val="Tahoma"/>
            <family val="2"/>
          </rPr>
          <t xml:space="preserve">
Elaborados 7 planes de educación-comunicación en el Servicio Ecosistémico Bosque y ejecutado en un 100% al 2025</t>
        </r>
      </text>
    </comment>
    <comment ref="AI45" authorId="3" shapeId="0">
      <text>
        <r>
          <rPr>
            <b/>
            <sz val="9"/>
            <color indexed="81"/>
            <rFont val="Tahoma"/>
            <family val="2"/>
          </rPr>
          <t>Magally Castro Alvarez:</t>
        </r>
        <r>
          <rPr>
            <sz val="9"/>
            <color indexed="81"/>
            <rFont val="Tahoma"/>
            <family val="2"/>
          </rPr>
          <t xml:space="preserve">
Si bien la estrategia de EA del SINAC está vencida desde hace mas de cinco años, y no cuenta con un capitulo de bosques, en las 11 AC se llevan a cabo gran cantidad de acciones de EA cada año, de estas acciones un porcentaje son dirigidas a la conservación los bosques- Este 65% toma en cuenta los salarios del persona, combustible y viaticos del SINAC y algunos apoyos externos que los enlaces año con año consiguen para desarrollar acciones 
  Esto es visto desde el punto de vista economico pero en acciones en el tema especificamente las acciones son pocas sobre todo desde el eje de comunicación 
Pero se cuenta con una Fortaleza, personal en cada una de las AC, consejos locales, entre otros 
</t>
        </r>
      </text>
    </comment>
    <comment ref="AJ45" authorId="3"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K45" authorId="3"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L45" authorId="3"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M45" authorId="3"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N45" authorId="3"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O45" authorId="3"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P45" authorId="3"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Q45" authorId="3"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R45" authorId="3"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BX45" authorId="3" shapeId="0">
      <text>
        <r>
          <rPr>
            <b/>
            <sz val="9"/>
            <color indexed="81"/>
            <rFont val="Tahoma"/>
            <family val="2"/>
          </rPr>
          <t>Magally Castro Alvarez:</t>
        </r>
        <r>
          <rPr>
            <sz val="9"/>
            <color indexed="81"/>
            <rFont val="Tahoma"/>
            <family val="2"/>
          </rPr>
          <t xml:space="preserve">
Incluye: 
3 millones para incluir el tema en la estrategia nacional del EA
12 millones para hacer 3 planes de educación-comunicación para 2 AC con mayor influencia en el tema. 
7 millones para capacitación de comunicación para la conservación a personal y consejos locales forestales 
3 millones (1 por CL) para fortalecer 3 consejos locales forestales existentes en el sistema.</t>
        </r>
      </text>
    </comment>
    <comment ref="BY45" authorId="3" shapeId="0">
      <text>
        <r>
          <rPr>
            <b/>
            <sz val="9"/>
            <color indexed="81"/>
            <rFont val="Tahoma"/>
            <family val="2"/>
          </rPr>
          <t>Magally Castro Alvarez:</t>
        </r>
        <r>
          <rPr>
            <sz val="9"/>
            <color indexed="81"/>
            <rFont val="Tahoma"/>
            <family val="2"/>
          </rPr>
          <t xml:space="preserve">
Incluye: 
8 millones para hacer 2 planes de accion de educación - comunicaci-on. 
3 millones para conformar tres consejos locales forestales de AC  
7 millones para una capacitacion de educación-comunicacion a personal del SINAC y miembros de consejos locales. 
3.5 millones para ejecución de acciones de comunicación 
10 millones para 1 proyecto de reforetación o restauración desde los consejos locales. 
</t>
        </r>
      </text>
    </comment>
    <comment ref="BZ45" authorId="3" shapeId="0">
      <text>
        <r>
          <rPr>
            <b/>
            <sz val="9"/>
            <color indexed="81"/>
            <rFont val="Tahoma"/>
            <family val="2"/>
          </rPr>
          <t>Magally Castro Alvarez:</t>
        </r>
        <r>
          <rPr>
            <sz val="9"/>
            <color indexed="81"/>
            <rFont val="Tahoma"/>
            <family val="2"/>
          </rPr>
          <t xml:space="preserve">
Incluye: 
8 millones para hacer el plan de accion de educación comunicacioón en 2 AC,
7 millones para desarrollar acciones de educación - comunicación. 
10 millones para insentivar proyectos de reforestación  o restauración desde los consejos locales forestales. 
2 millones para acciones conjuntas con el MEP para incluir el tema en el curriculum. 
6 millones para un sistema de monitoreo de impacto de las acciones 
</t>
        </r>
      </text>
    </comment>
    <comment ref="CA45" authorId="3"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CB45" authorId="3"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C45" authorId="3"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D45" authorId="3"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E45" authorId="3"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CF45" authorId="3"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AH46" authorId="3" shapeId="0">
      <text>
        <r>
          <rPr>
            <b/>
            <sz val="9"/>
            <color indexed="81"/>
            <rFont val="Tahoma"/>
            <family val="2"/>
          </rPr>
          <t>Magally Castro Alvarez:</t>
        </r>
        <r>
          <rPr>
            <sz val="9"/>
            <color indexed="81"/>
            <rFont val="Tahoma"/>
            <family val="2"/>
          </rPr>
          <t xml:space="preserve">
Existe un manual de capacitación de Organos Colegiados del SINAC, el cual se puede actualizar y capacitar a los consejos. 
Además se requiere de instrumentos para su fortalecimiento y seguimiento, así como su empoderamiento y l posicionamiento del tema forestal y otros para la toma de decisiciones que ellos realizan.</t>
        </r>
      </text>
    </comment>
    <comment ref="BI46" authorId="3" shapeId="0">
      <text>
        <r>
          <rPr>
            <b/>
            <sz val="9"/>
            <color indexed="81"/>
            <rFont val="Tahoma"/>
            <family val="2"/>
          </rPr>
          <t>Magally Castro Alvarez:</t>
        </r>
        <r>
          <rPr>
            <sz val="9"/>
            <color indexed="81"/>
            <rFont val="Tahoma"/>
            <family val="2"/>
          </rPr>
          <t xml:space="preserve">
Este es un calculo de los que se hizo en el 2015 que fue el año que se realizo el manual de capacitación y se aplico a algunos OC.</t>
        </r>
      </text>
    </comment>
    <comment ref="BJ46" authorId="3" shapeId="0">
      <text>
        <r>
          <rPr>
            <b/>
            <sz val="9"/>
            <color indexed="81"/>
            <rFont val="Tahoma"/>
            <family val="2"/>
          </rPr>
          <t>Magally Castro Alvarez:</t>
        </r>
        <r>
          <rPr>
            <sz val="9"/>
            <color indexed="81"/>
            <rFont val="Tahoma"/>
            <family val="2"/>
          </rPr>
          <t xml:space="preserve">
Esto inlcuye fondos SINAC y alguna contrapartida del proyecto MAPCOBIO  y de CB para fortalecer el tema.</t>
        </r>
      </text>
    </comment>
    <comment ref="BK46" authorId="3" shapeId="0">
      <text>
        <r>
          <rPr>
            <b/>
            <sz val="9"/>
            <color indexed="81"/>
            <rFont val="Tahoma"/>
            <family val="2"/>
          </rPr>
          <t>Magally Castro Alvarez:</t>
        </r>
        <r>
          <rPr>
            <sz val="9"/>
            <color indexed="81"/>
            <rFont val="Tahoma"/>
            <family val="2"/>
          </rPr>
          <t xml:space="preserve">
Fondos SINAC para acciones exporadicas de los consejos locales. Alimentacion para reunions mensuales, entre otros.  Para su funcionamiento pero no para su fortalecimiento.</t>
        </r>
      </text>
    </comment>
    <comment ref="BX46" authorId="3" shapeId="0">
      <text>
        <r>
          <rPr>
            <b/>
            <sz val="9"/>
            <color indexed="81"/>
            <rFont val="Tahoma"/>
            <family val="2"/>
          </rPr>
          <t>Magally Castro Alvarez:</t>
        </r>
        <r>
          <rPr>
            <sz val="9"/>
            <color indexed="81"/>
            <rFont val="Tahoma"/>
            <family val="2"/>
          </rPr>
          <t xml:space="preserve">
Alvarez:
Incluye:
Actualizar el manual 
Capacitar a un % de los OC </t>
        </r>
      </text>
    </comment>
    <comment ref="BY46" authorId="3" shapeId="0">
      <text>
        <r>
          <rPr>
            <b/>
            <sz val="9"/>
            <color indexed="81"/>
            <rFont val="Tahoma"/>
            <family val="2"/>
          </rPr>
          <t>Magally Castro Alvarez:</t>
        </r>
        <r>
          <rPr>
            <sz val="9"/>
            <color indexed="81"/>
            <rFont val="Tahoma"/>
            <family val="2"/>
          </rPr>
          <t xml:space="preserve">
Incluye:
Capacitar a un % de los OC 
1 Encuentro de CORAC</t>
        </r>
      </text>
    </comment>
    <comment ref="BZ46" authorId="3"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CA46" authorId="3"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N47"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BX47" authorId="0" shapeId="0">
      <text>
        <r>
          <rPr>
            <b/>
            <sz val="9"/>
            <color indexed="81"/>
            <rFont val="Tahoma"/>
            <family val="2"/>
          </rPr>
          <t>Edwin Vega-Araya:</t>
        </r>
        <r>
          <rPr>
            <sz val="9"/>
            <color indexed="81"/>
            <rFont val="Tahoma"/>
            <family val="2"/>
          </rPr>
          <t xml:space="preserve">
El costo de cada estudio se estima equivalente a una consultoría de U$24,000</t>
        </r>
      </text>
    </comment>
    <comment ref="AH48" authorId="0" shapeId="0">
      <text>
        <r>
          <rPr>
            <b/>
            <sz val="9"/>
            <color indexed="81"/>
            <rFont val="Tahoma"/>
            <family val="2"/>
          </rPr>
          <t>Edwin Vega-Araya:</t>
        </r>
        <r>
          <rPr>
            <sz val="9"/>
            <color indexed="81"/>
            <rFont val="Tahoma"/>
            <family val="2"/>
          </rPr>
          <t xml:space="preserve">
Idealmente se debería hacer 1 por año para cada ASP, por lo menos en las más conflictivas.  SINAC ahora protege a 32 parques nacionales, 51 refugios de vida silvestre, 13 reservas forestales y 8 reservas biológicas = 104 ASPs.</t>
        </r>
      </text>
    </comment>
    <comment ref="AU48" authorId="0" shapeId="0">
      <text>
        <r>
          <rPr>
            <b/>
            <sz val="9"/>
            <color indexed="81"/>
            <rFont val="Tahoma"/>
            <family val="2"/>
          </rPr>
          <t>Edwin Vega-Araya:</t>
        </r>
        <r>
          <rPr>
            <sz val="9"/>
            <color indexed="81"/>
            <rFont val="Tahoma"/>
            <family val="2"/>
          </rPr>
          <t xml:space="preserve">
duplicar al menos lo sin redd</t>
        </r>
      </text>
    </comment>
    <comment ref="BI48" authorId="0" shapeId="0">
      <text>
        <r>
          <rPr>
            <b/>
            <sz val="9"/>
            <color indexed="81"/>
            <rFont val="Tahoma"/>
            <family val="2"/>
          </rPr>
          <t>Edwin Vega-Araya:</t>
        </r>
        <r>
          <rPr>
            <sz val="9"/>
            <color indexed="81"/>
            <rFont val="Tahoma"/>
            <family val="2"/>
          </rPr>
          <t xml:space="preserve">
más o menos cada estudio vale 100,000</t>
        </r>
      </text>
    </comment>
    <comment ref="BX48" authorId="0" shapeId="0">
      <text>
        <r>
          <rPr>
            <b/>
            <sz val="9"/>
            <color indexed="81"/>
            <rFont val="Tahoma"/>
            <family val="2"/>
          </rPr>
          <t>Edwin Vega-Araya:</t>
        </r>
        <r>
          <rPr>
            <sz val="9"/>
            <color indexed="81"/>
            <rFont val="Tahoma"/>
            <family val="2"/>
          </rPr>
          <t xml:space="preserve">
Se busca más bien sistematizar tal que haya un proceso en que no salga tan caro cada estudio.  La regularización depende de muchas cosas resultado de los estudios.</t>
        </r>
      </text>
    </comment>
    <comment ref="CS48" authorId="0" shapeId="0">
      <text>
        <r>
          <rPr>
            <b/>
            <sz val="9"/>
            <color indexed="81"/>
            <rFont val="Tahoma"/>
            <family val="2"/>
          </rPr>
          <t>Edwin Vega-Araya:</t>
        </r>
        <r>
          <rPr>
            <sz val="9"/>
            <color indexed="81"/>
            <rFont val="Tahoma"/>
            <family val="2"/>
          </rPr>
          <t xml:space="preserve">
Se supone que 5/6 de los $90,000 se usan en ASP y 1/6 en otras zonas ABRE.</t>
        </r>
      </text>
    </comment>
    <comment ref="N49"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AG49" authorId="0" shapeId="0">
      <text>
        <r>
          <rPr>
            <b/>
            <sz val="9"/>
            <color indexed="81"/>
            <rFont val="Tahoma"/>
            <family val="2"/>
          </rPr>
          <t>Edwin Vega-Araya:</t>
        </r>
        <r>
          <rPr>
            <sz val="9"/>
            <color indexed="81"/>
            <rFont val="Tahoma"/>
            <family val="2"/>
          </rPr>
          <t xml:space="preserve">
Es PNE</t>
        </r>
      </text>
    </comment>
    <comment ref="BI49"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BJ49"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BX49" authorId="0" shapeId="0">
      <text>
        <r>
          <rPr>
            <b/>
            <sz val="9"/>
            <color indexed="81"/>
            <rFont val="Tahoma"/>
            <family val="2"/>
          </rPr>
          <t>Edwin Vega-Araya:</t>
        </r>
        <r>
          <rPr>
            <sz val="9"/>
            <color indexed="81"/>
            <rFont val="Tahoma"/>
            <family val="2"/>
          </rPr>
          <t xml:space="preserve">
Podría ser que pronto se modifique la Ley y se aumenten los usos permitidos en PNE, lo que aumentaría el presupuesto en esto al doble.
El incremento en tiempo es que pase de 1/5 a 1/2 para hacer bien la función.</t>
        </r>
      </text>
    </comment>
    <comment ref="N50"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BJ50" authorId="0" shapeId="0">
      <text>
        <r>
          <rPr>
            <b/>
            <sz val="9"/>
            <color indexed="81"/>
            <rFont val="Tahoma"/>
            <family val="2"/>
          </rPr>
          <t>Edwin Vega-Araya:</t>
        </r>
        <r>
          <rPr>
            <sz val="9"/>
            <color indexed="81"/>
            <rFont val="Tahoma"/>
            <family val="2"/>
          </rPr>
          <t xml:space="preserve">
costo por capacitación es aproximado según la Gerencia de Participación Ciudadana y Gobernanza (300,000 colones)</t>
        </r>
      </text>
    </comment>
    <comment ref="AH51" authorId="0" shapeId="0">
      <text>
        <r>
          <rPr>
            <b/>
            <sz val="9"/>
            <color indexed="81"/>
            <rFont val="Tahoma"/>
            <family val="2"/>
          </rPr>
          <t>Edwin Vega-Araya:</t>
        </r>
        <r>
          <rPr>
            <sz val="9"/>
            <color indexed="81"/>
            <rFont val="Tahoma"/>
            <family val="2"/>
          </rPr>
          <t xml:space="preserve">
A través de Corredores biológicos es que se daría el apoyo a esto.
Los corredores que se estarán trabajando con las municipalidades son:
1-Corredor ruta los Malecu (Guatuso, Upala y Los Chiles)
2. COBRISURAC (Cartago)
3.Corredor Garcimuñoz y Torres (San José)
</t>
        </r>
        <r>
          <rPr>
            <b/>
            <sz val="9"/>
            <color indexed="81"/>
            <rFont val="Tahoma"/>
            <family val="2"/>
          </rPr>
          <t>Magaly Castro:</t>
        </r>
        <r>
          <rPr>
            <sz val="9"/>
            <color indexed="81"/>
            <rFont val="Tahoma"/>
            <family val="2"/>
          </rPr>
          <t xml:space="preserve">
Hay 7 u 8 planes de gestión de corredores biológicos, y apenas se va a hacer el plan estratégico a nivel nacional de corredores biológicos donde se establecería meta.  La estrategia de Adapatación al CC dice de crear 12 corredores biológicos nuevos.  En las metas país Aichi dice de ampliar la conectividad en un 0.5% en conectividad que significa 3 corredores biológicos nuevos.</t>
        </r>
      </text>
    </comment>
    <comment ref="AI51" authorId="0" shapeId="0">
      <text>
        <r>
          <rPr>
            <b/>
            <sz val="9"/>
            <color indexed="81"/>
            <rFont val="Tahoma"/>
            <family val="2"/>
          </rPr>
          <t>Edwin Vega-Araya:</t>
        </r>
        <r>
          <rPr>
            <sz val="9"/>
            <color indexed="81"/>
            <rFont val="Tahoma"/>
            <family val="2"/>
          </rPr>
          <t xml:space="preserve">
Se está en proceso de crear una línea base pues hasta ahora se creó el departamento.   A través de "Corredores Biológicos" se puede tener información de línea base, y en las Munic. De Guatuso, Upala y Los Chiles ya tiene algo incluído en los Planes reguladores para arborizar en ríos.</t>
        </r>
      </text>
    </comment>
    <comment ref="AL51" authorId="0" shapeId="0">
      <text>
        <r>
          <rPr>
            <b/>
            <sz val="9"/>
            <color indexed="81"/>
            <rFont val="Tahoma"/>
            <family val="2"/>
          </rPr>
          <t>Edwin Vega-Araya:</t>
        </r>
        <r>
          <rPr>
            <sz val="9"/>
            <color indexed="81"/>
            <rFont val="Tahoma"/>
            <family val="2"/>
          </rPr>
          <t xml:space="preserve">
Se espera que haya acciones aisladas de las municipalidades pero no un plan estructurado, esto debido a la menor aplicación de recursos.</t>
        </r>
      </text>
    </comment>
    <comment ref="BI51" authorId="0" shapeId="0">
      <text>
        <r>
          <rPr>
            <b/>
            <sz val="9"/>
            <color indexed="81"/>
            <rFont val="Tahoma"/>
            <family val="2"/>
          </rPr>
          <t>Edwin Vega-Araya:</t>
        </r>
        <r>
          <rPr>
            <sz val="9"/>
            <color indexed="81"/>
            <rFont val="Tahoma"/>
            <family val="2"/>
          </rPr>
          <t xml:space="preserve">
Incluye Elaboración del Plan (un forestal) +- 5millones
Más capacitación y sensibilización del mismo (tallleres a Concejo Municipal, al Consejo del Corredor Biológico, y otras fuerzas vivas) +- 300.000 por taller y (15 personas x  40.000 por persona = 600.000.  Y son por 2 talleres y un intercambio por municipalidad).  total = 1.200.000
Materia prima (una parte donaciones, y otra compra en viveros locales y posiblemente fomentar la creación de alguno) +- 600.000 (se hace una analogía aproximada con la siembra de cercas en SAF)
Esto implica el costo por municipalidad atendida es de 6.800.000 </t>
        </r>
      </text>
    </comment>
    <comment ref="AI52" authorId="0" shapeId="0">
      <text>
        <r>
          <rPr>
            <b/>
            <sz val="9"/>
            <color indexed="81"/>
            <rFont val="Tahoma"/>
            <family val="2"/>
          </rPr>
          <t>Edwin Vega-Araya:</t>
        </r>
        <r>
          <rPr>
            <sz val="9"/>
            <color indexed="81"/>
            <rFont val="Tahoma"/>
            <family val="2"/>
          </rPr>
          <t xml:space="preserve">
En noviembre de 2016 se publicó N° 39952-MINAE de “ESTÁNDARES DE SOSTENIBILIDAD PARA MANEJO
DE BOSQUES SECUNDARIOS:  PRINCIPIOS, CRITERIOS E INDICADORES, CÓDIGO DE PRÁCTICAS Y MANUAL DE PROCEDIMIENTOS…"
</t>
        </r>
      </text>
    </comment>
    <comment ref="BJ52"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BV52" authorId="0" shapeId="0">
      <text>
        <r>
          <rPr>
            <b/>
            <sz val="9"/>
            <color indexed="81"/>
            <rFont val="Tahoma"/>
            <family val="2"/>
          </rPr>
          <t>Edwin Vega-Araya:</t>
        </r>
        <r>
          <rPr>
            <sz val="9"/>
            <color indexed="81"/>
            <rFont val="Tahoma"/>
            <family val="2"/>
          </rPr>
          <t xml:space="preserve">
La academia y otros se autofinancian, pero no tienen capacidad de nuevas parcelas.</t>
        </r>
      </text>
    </comment>
    <comment ref="BX52"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BY52" authorId="0" shapeId="0">
      <text>
        <r>
          <rPr>
            <b/>
            <sz val="9"/>
            <color indexed="81"/>
            <rFont val="Tahoma"/>
            <family val="2"/>
          </rPr>
          <t>Edwin Vega-Araya:</t>
        </r>
        <r>
          <rPr>
            <sz val="9"/>
            <color indexed="81"/>
            <rFont val="Tahoma"/>
            <family val="2"/>
          </rPr>
          <t xml:space="preserve">
5 parcelas en 2017 y 15 en 2018, luego las mediciones y ya para 2020 decreto</t>
        </r>
      </text>
    </comment>
    <comment ref="BZ52" authorId="0" shapeId="0">
      <text>
        <r>
          <rPr>
            <b/>
            <sz val="9"/>
            <color indexed="81"/>
            <rFont val="Tahoma"/>
            <family val="2"/>
          </rPr>
          <t>Edwin Vega-Araya:</t>
        </r>
        <r>
          <rPr>
            <sz val="9"/>
            <color indexed="81"/>
            <rFont val="Tahoma"/>
            <family val="2"/>
          </rPr>
          <t xml:space="preserve">
El estudio de los datos y propuesta y validación de nuevos criterios se estima en equivalente a consultoría de $20,000</t>
        </r>
      </text>
    </comment>
    <comment ref="B5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N5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AG54" authorId="4" shapeId="0">
      <text>
        <r>
          <rPr>
            <b/>
            <sz val="9"/>
            <color indexed="81"/>
            <rFont val="Tahoma"/>
            <family val="2"/>
          </rPr>
          <t>Carlos Varela Jimenez:</t>
        </r>
        <r>
          <rPr>
            <sz val="9"/>
            <color indexed="81"/>
            <rFont val="Tahoma"/>
            <family val="2"/>
          </rPr>
          <t xml:space="preserve">
Los COVIRENA e inspectores ambientales ad honorem tendrán participación dentro y fuera de ASP, por tanto el Área de Infuencia será todo el territorio</t>
        </r>
      </text>
    </comment>
    <comment ref="B5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N5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AI55" authorId="0" shapeId="0">
      <text>
        <r>
          <rPr>
            <b/>
            <sz val="9"/>
            <color indexed="81"/>
            <rFont val="Tahoma"/>
            <family val="2"/>
          </rPr>
          <t>Edwin Vega-Araya:</t>
        </r>
        <r>
          <rPr>
            <sz val="9"/>
            <color indexed="81"/>
            <rFont val="Tahoma"/>
            <family val="2"/>
          </rPr>
          <t xml:space="preserve">
Es el monto anual destinado por presupuesto ordinario.</t>
        </r>
      </text>
    </comment>
    <comment ref="AU55" authorId="0" shapeId="0">
      <text>
        <r>
          <rPr>
            <b/>
            <sz val="9"/>
            <color indexed="81"/>
            <rFont val="Tahoma"/>
            <family val="2"/>
          </rPr>
          <t>Edwin Vega-Araya:</t>
        </r>
        <r>
          <rPr>
            <sz val="9"/>
            <color indexed="81"/>
            <rFont val="Tahoma"/>
            <family val="2"/>
          </rPr>
          <t xml:space="preserve">
El sr. Castillo piensa que REDD+ podría incrementar el presupuesto en 1% al menos por año para apoyar esta actividad.  La misma está originalmente contenida en la Estrategia Nacional pero por razones económicas no se le destinarán recursos.</t>
        </r>
      </text>
    </comment>
    <comment ref="N56"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AI56" authorId="0" shapeId="0">
      <text>
        <r>
          <rPr>
            <b/>
            <sz val="9"/>
            <color indexed="81"/>
            <rFont val="Tahoma"/>
            <family val="2"/>
          </rPr>
          <t>Edwin Vega-Araya:</t>
        </r>
        <r>
          <rPr>
            <sz val="9"/>
            <color indexed="81"/>
            <rFont val="Tahoma"/>
            <family val="2"/>
          </rPr>
          <t xml:space="preserve">
decreto Ejecutivo 39660-MINAE que ya no se tiene que renovar cada año, sino que cada 5 años, en este caso 2016 a 2021</t>
        </r>
      </text>
    </comment>
    <comment ref="AY56" authorId="0" shapeId="0">
      <text>
        <r>
          <rPr>
            <b/>
            <sz val="9"/>
            <color indexed="81"/>
            <rFont val="Tahoma"/>
            <family val="2"/>
          </rPr>
          <t>Edwin Vega-Araya:</t>
        </r>
        <r>
          <rPr>
            <sz val="9"/>
            <color indexed="81"/>
            <rFont val="Tahoma"/>
            <family val="2"/>
          </rPr>
          <t xml:space="preserve">
Este decreto tendría una mejora cualitativa respecto a la situación "sin".</t>
        </r>
      </text>
    </comment>
    <comment ref="BJ56" authorId="0" shapeId="0">
      <text>
        <r>
          <rPr>
            <b/>
            <sz val="9"/>
            <color indexed="81"/>
            <rFont val="Tahoma"/>
            <family val="2"/>
          </rPr>
          <t>Edwin Vega-Araya:</t>
        </r>
        <r>
          <rPr>
            <sz val="9"/>
            <color indexed="81"/>
            <rFont val="Tahoma"/>
            <family val="2"/>
          </rPr>
          <t xml:space="preserve">
Financiación de MACOBIO para incorporar los indicadores de Evaluación del PPSA al SINIA</t>
        </r>
      </text>
    </comment>
    <comment ref="CA56" authorId="0" shapeId="0">
      <text>
        <r>
          <rPr>
            <b/>
            <sz val="9"/>
            <color indexed="81"/>
            <rFont val="Tahoma"/>
            <family val="2"/>
          </rPr>
          <t>Edwin Vega-Araya:</t>
        </r>
        <r>
          <rPr>
            <sz val="9"/>
            <color indexed="81"/>
            <rFont val="Tahoma"/>
            <family val="2"/>
          </rPr>
          <t xml:space="preserve">
REDD+ puede financiar el estudio del estudio de los indicadores dentro de 5 años comparados con los de ahora y definir posibles cambios a los criterios.  REDD+ podría ayudar en analizar el ajuste del sistema para los indicadodres del PSA, de más menos $10.000.</t>
        </r>
      </text>
    </comment>
    <comment ref="AI57" authorId="0" shapeId="0">
      <text>
        <r>
          <rPr>
            <b/>
            <sz val="9"/>
            <color indexed="81"/>
            <rFont val="Tahoma"/>
            <family val="2"/>
          </rPr>
          <t>Magally Castro:</t>
        </r>
        <r>
          <rPr>
            <sz val="9"/>
            <color indexed="81"/>
            <rFont val="Tahoma"/>
            <family val="2"/>
          </rPr>
          <t xml:space="preserve">
Edwin aquí seria bueno meter el dato de cuantos CB con PSA y REDD</t>
        </r>
      </text>
    </comment>
    <comment ref="BK57" authorId="0" shapeId="0">
      <text>
        <r>
          <rPr>
            <b/>
            <sz val="9"/>
            <color indexed="81"/>
            <rFont val="Tahoma"/>
            <family val="2"/>
          </rPr>
          <t>Edwin Vega-Araya:</t>
        </r>
        <r>
          <rPr>
            <sz val="9"/>
            <color indexed="81"/>
            <rFont val="Tahoma"/>
            <family val="2"/>
          </rPr>
          <t xml:space="preserve">
Se valoran acciones aisladas relacionadas y no articuladas en una estrategia.</t>
        </r>
      </text>
    </comment>
    <comment ref="BX57" authorId="3" shapeId="0">
      <text>
        <r>
          <rPr>
            <b/>
            <sz val="9"/>
            <color indexed="81"/>
            <rFont val="Tahoma"/>
            <family val="2"/>
          </rPr>
          <t>Magally Castro Alvarez:</t>
        </r>
        <r>
          <rPr>
            <sz val="9"/>
            <color indexed="81"/>
            <rFont val="Tahoma"/>
            <family val="2"/>
          </rPr>
          <t xml:space="preserve">
Incluye la contratación de una estategia de defina alternativas de como llegar a los actores privados en ASP desde los consejos locales de CB</t>
        </r>
      </text>
    </comment>
    <comment ref="BY57" authorId="3" shapeId="0">
      <text>
        <r>
          <rPr>
            <b/>
            <sz val="9"/>
            <color indexed="81"/>
            <rFont val="Tahoma"/>
            <family val="2"/>
          </rPr>
          <t>Magally Castro Alvarez:</t>
        </r>
        <r>
          <rPr>
            <sz val="9"/>
            <color indexed="81"/>
            <rFont val="Tahoma"/>
            <family val="2"/>
          </rPr>
          <t xml:space="preserve">
Inclye capacitacion a todos los CL para ejecutar la estrategia 
5 CB sensibilizan a los actores privado en sobre PSA y REDD (materiales, charlas, capacitación)</t>
        </r>
      </text>
    </comment>
    <comment ref="BZ57" authorId="3" shapeId="0">
      <text>
        <r>
          <rPr>
            <b/>
            <sz val="9"/>
            <color indexed="81"/>
            <rFont val="Tahoma"/>
            <family val="2"/>
          </rPr>
          <t>Magally Castro Alvarez:</t>
        </r>
        <r>
          <rPr>
            <sz val="9"/>
            <color indexed="81"/>
            <rFont val="Tahoma"/>
            <family val="2"/>
          </rPr>
          <t xml:space="preserve">
Incluye trabajos varios para promover acuerdos, sensiblización, charlas, materiales, videos y otros por medio de los cuales los CL de los CB promueven el PSA y REDD</t>
        </r>
      </text>
    </comment>
    <comment ref="B59" authorId="0" shapeId="0">
      <text>
        <r>
          <rPr>
            <b/>
            <sz val="9"/>
            <color indexed="81"/>
            <rFont val="Tahoma"/>
            <family val="2"/>
          </rPr>
          <t>Edwin Vega-Araya:</t>
        </r>
        <r>
          <rPr>
            <sz val="9"/>
            <color indexed="81"/>
            <rFont val="Tahoma"/>
            <family val="2"/>
          </rPr>
          <t xml:space="preserve">
Además no se incluyen algunas acciones del Plan de Adquisiciones de la segunda donación, </t>
        </r>
      </text>
    </comment>
    <comment ref="B60" authorId="0" shapeId="0">
      <text>
        <r>
          <rPr>
            <b/>
            <sz val="9"/>
            <color indexed="81"/>
            <rFont val="Tahoma"/>
            <family val="2"/>
          </rPr>
          <t>Edwin Vega-Araya:</t>
        </r>
        <r>
          <rPr>
            <sz val="9"/>
            <color indexed="81"/>
            <rFont val="Tahoma"/>
            <family val="2"/>
          </rPr>
          <t xml:space="preserve">
Es más bien el posible instrumento para operacionalizar el MDB</t>
        </r>
      </text>
    </comment>
    <comment ref="CS60" authorId="0" shapeId="0">
      <text>
        <r>
          <rPr>
            <b/>
            <sz val="9"/>
            <color indexed="81"/>
            <rFont val="Tahoma"/>
            <family val="2"/>
          </rPr>
          <t>Edwin Vega-Araya:</t>
        </r>
        <r>
          <rPr>
            <sz val="9"/>
            <color indexed="81"/>
            <rFont val="Tahoma"/>
            <family val="2"/>
          </rPr>
          <t xml:space="preserve">
Identificar en la fórmula en el Archivo Plan de Implementación V7 las actividades de "Plan Adq FPrep2" que integran cada monto.</t>
        </r>
      </text>
    </comment>
    <comment ref="CT60" authorId="0" shapeId="0">
      <text>
        <r>
          <rPr>
            <b/>
            <sz val="9"/>
            <color indexed="81"/>
            <rFont val="Tahoma"/>
            <family val="2"/>
          </rPr>
          <t xml:space="preserve">Edwin Vega-Araya: </t>
        </r>
        <r>
          <rPr>
            <sz val="9"/>
            <color indexed="81"/>
            <rFont val="Tahoma"/>
            <family val="2"/>
          </rPr>
          <t xml:space="preserve">Revisar en el Plan de Adquisiciones la distribución entre 2016, 2017 y 2018 de estos fondos.
</t>
        </r>
      </text>
    </comment>
    <comment ref="B61" authorId="0" shapeId="0">
      <text>
        <r>
          <rPr>
            <b/>
            <sz val="9"/>
            <color indexed="81"/>
            <rFont val="Tahoma"/>
            <family val="2"/>
          </rPr>
          <t>Edwin Vega-Araya:</t>
        </r>
        <r>
          <rPr>
            <sz val="9"/>
            <color indexed="81"/>
            <rFont val="Tahoma"/>
            <family val="2"/>
          </rPr>
          <t xml:space="preserve">
Ya está en otras acciones y que desembocan en decreto.  Estos instrumentos (PNDFy ENB) ya los tienen.</t>
        </r>
      </text>
    </comment>
  </commentList>
</comments>
</file>

<file path=xl/comments6.xml><?xml version="1.0" encoding="utf-8"?>
<comments xmlns="http://schemas.openxmlformats.org/spreadsheetml/2006/main">
  <authors>
    <author>Edwin Vega-Araya</author>
    <author>Carlos Varela Jimenez</author>
    <author>José Joaquin Calvo Domingo</author>
    <author>Magally Castro Alvarez</author>
    <author>Vega_Araya Edwin_Eduardo</author>
  </authors>
  <commentList>
    <comment ref="U3" authorId="0" shapeId="0">
      <text>
        <r>
          <rPr>
            <b/>
            <sz val="9"/>
            <color indexed="81"/>
            <rFont val="Tahoma"/>
            <family val="2"/>
          </rPr>
          <t>Edwin Vega-Araya:</t>
        </r>
        <r>
          <rPr>
            <sz val="9"/>
            <color indexed="81"/>
            <rFont val="Tahoma"/>
            <family val="2"/>
          </rPr>
          <t xml:space="preserve">
Identificar en la fórmula en el Archivo Plan de Implementación V7 las actividades de "Plan Adq FPrep2" que integran cada monto.</t>
        </r>
      </text>
    </comment>
    <comment ref="V3" authorId="0" shapeId="0">
      <text>
        <r>
          <rPr>
            <b/>
            <sz val="9"/>
            <color indexed="81"/>
            <rFont val="Tahoma"/>
            <family val="2"/>
          </rPr>
          <t xml:space="preserve">Edwin Vega-Araya: </t>
        </r>
        <r>
          <rPr>
            <sz val="9"/>
            <color indexed="81"/>
            <rFont val="Tahoma"/>
            <family val="2"/>
          </rPr>
          <t xml:space="preserve">Revisar en el Plan de Adquisiciones la distribución entre 2016, 2017 y 2018 de estos fondos.
</t>
        </r>
      </text>
    </comment>
    <comment ref="E6"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E8"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F8" authorId="0" shapeId="0">
      <text>
        <r>
          <rPr>
            <b/>
            <sz val="9"/>
            <color indexed="81"/>
            <rFont val="Tahoma"/>
            <family val="2"/>
          </rPr>
          <t>Edwin Vega-Araya:</t>
        </r>
        <r>
          <rPr>
            <sz val="9"/>
            <color indexed="81"/>
            <rFont val="Tahoma"/>
            <family val="2"/>
          </rPr>
          <t xml:space="preserve">
costo por capacitación es aproximado según la Gerencia de Participación Ciudadana y Gobernanza (300,000 colones)</t>
        </r>
      </text>
    </comment>
    <comment ref="E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F9" authorId="0" shapeId="0">
      <text>
        <r>
          <rPr>
            <b/>
            <sz val="9"/>
            <color indexed="81"/>
            <rFont val="Tahoma"/>
            <family val="2"/>
          </rPr>
          <t>Edwin Vega-Araya:</t>
        </r>
        <r>
          <rPr>
            <sz val="9"/>
            <color indexed="81"/>
            <rFont val="Tahoma"/>
            <family val="2"/>
          </rPr>
          <t xml:space="preserve">
Los costos sin y con REDD+ son iguales corresponden a la operación del departamento.  Zoila pasó el dato el 15/11/2016 por email.   Se agrega el aporte en la situación Con REDD+ de los aportes de la Preparación de la Segunda donación.</t>
        </r>
      </text>
    </comment>
    <comment ref="E12"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F12" authorId="0" shapeId="0">
      <text>
        <r>
          <rPr>
            <b/>
            <sz val="9"/>
            <color indexed="81"/>
            <rFont val="Tahoma"/>
            <family val="2"/>
          </rPr>
          <t>Edwin Vega-Araya:</t>
        </r>
        <r>
          <rPr>
            <sz val="9"/>
            <color indexed="81"/>
            <rFont val="Tahoma"/>
            <family val="2"/>
          </rPr>
          <t xml:space="preserve">
Es una actividad nueva por lo que no lleva "Sin REDD+"</t>
        </r>
      </text>
    </comment>
    <comment ref="E14"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Directriz ministerial con lo del Programa de Bosques y Desarrollo Rural).  Serían profesionales.</t>
        </r>
      </text>
    </comment>
    <comment ref="G14" authorId="0" shapeId="0">
      <text>
        <r>
          <rPr>
            <b/>
            <sz val="9"/>
            <color indexed="81"/>
            <rFont val="Tahoma"/>
            <family val="2"/>
          </rPr>
          <t>Edwin Vega-Araya:</t>
        </r>
        <r>
          <rPr>
            <sz val="9"/>
            <color indexed="81"/>
            <rFont val="Tahoma"/>
            <family val="2"/>
          </rPr>
          <t xml:space="preserve">
Se supone un incremento anual en costos del 5%</t>
        </r>
      </text>
    </comment>
    <comment ref="E15"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E17"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C18" authorId="0" shapeId="0">
      <text>
        <r>
          <rPr>
            <b/>
            <sz val="9"/>
            <color indexed="81"/>
            <rFont val="Tahoma"/>
            <family val="2"/>
          </rPr>
          <t>Edwin Vega-Araya:</t>
        </r>
        <r>
          <rPr>
            <sz val="9"/>
            <color indexed="81"/>
            <rFont val="Tahoma"/>
            <family val="2"/>
          </rPr>
          <t xml:space="preserve">
Faltaría agregar el costo de seguimiento que es la pesona que va metiendo la información y el soporte informático donde va a estar que esté sostenido y no se caiga (Servidor y capacidad del servidor). Consultar a María Isabel. Con el Plan de Adquisiciones se hace la inversión, pero la operación (seguimiento o monitoreo) falta de incluirlo.  Actualmente la institución le paga a ADDAX.</t>
        </r>
      </text>
    </comment>
    <comment ref="E18"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E20"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E22" authorId="0" shapeId="0">
      <text>
        <r>
          <rPr>
            <b/>
            <sz val="9"/>
            <color indexed="81"/>
            <rFont val="Tahoma"/>
            <family val="2"/>
          </rPr>
          <t>Edwin Vega-Araya:</t>
        </r>
        <r>
          <rPr>
            <sz val="9"/>
            <color indexed="81"/>
            <rFont val="Tahoma"/>
            <family val="2"/>
          </rPr>
          <t xml:space="preserve">
Promovido por PNUD</t>
        </r>
      </text>
    </comment>
    <comment ref="E24"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F24" authorId="0" shapeId="0">
      <text>
        <r>
          <rPr>
            <b/>
            <sz val="9"/>
            <color indexed="81"/>
            <rFont val="Tahoma"/>
            <family val="2"/>
          </rPr>
          <t>Edwin Vega-Araya:</t>
        </r>
        <r>
          <rPr>
            <sz val="9"/>
            <color indexed="81"/>
            <rFont val="Tahoma"/>
            <family val="2"/>
          </rPr>
          <t xml:space="preserve">
Se estima el costo de incorporar una finca adicional al PPN como el tiempo horas técnico y profesional dedicados a visitas y asistencia técnica al finquero para el convencimiento y desarrollo de actividades. Un profesional y un técnico que hagan 6 visitas de campo de 1 hora cada visita.  Una visita cuesta 7,000 (hora del profesional) + 5,000 (hora del técnico) + 5,000 (combustible) + 4,000 (media de viáticos) = 21,000.  Por lo tanto 6 visitas cuestan = 126,000 colones.</t>
        </r>
      </text>
    </comment>
    <comment ref="E28"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F28" authorId="0" shapeId="0">
      <text>
        <r>
          <rPr>
            <b/>
            <sz val="9"/>
            <color indexed="81"/>
            <rFont val="Tahoma"/>
            <family val="2"/>
          </rPr>
          <t>Edwin Vega-Araya:</t>
        </r>
        <r>
          <rPr>
            <sz val="9"/>
            <color indexed="81"/>
            <rFont val="Tahoma"/>
            <family val="2"/>
          </rPr>
          <t xml:space="preserve">
Los 15.000.000 de capacitación es por capacitar 200 personas por año a un costo de 75.000 por persona.</t>
        </r>
      </text>
    </comment>
    <comment ref="E31"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E34"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R34" authorId="1" shapeId="0">
      <text>
        <r>
          <rPr>
            <b/>
            <sz val="9"/>
            <color indexed="81"/>
            <rFont val="Tahoma"/>
            <family val="2"/>
          </rPr>
          <t>Carlos Varela Jimenez:</t>
        </r>
        <r>
          <rPr>
            <sz val="9"/>
            <color indexed="81"/>
            <rFont val="Tahoma"/>
            <family val="2"/>
          </rPr>
          <t xml:space="preserve">
Se financia con pagos de la regencia más otros recursos del CIAgro</t>
        </r>
      </text>
    </comment>
    <comment ref="E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E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E40" authorId="0" shapeId="0">
      <text>
        <r>
          <rPr>
            <b/>
            <sz val="9"/>
            <color indexed="81"/>
            <rFont val="Tahoma"/>
            <family val="2"/>
          </rPr>
          <t>Edwin Vega-Araya:</t>
        </r>
        <r>
          <rPr>
            <sz val="9"/>
            <color indexed="81"/>
            <rFont val="Tahoma"/>
            <family val="2"/>
          </rPr>
          <t xml:space="preserve">
En PAAs de EV</t>
        </r>
      </text>
    </comment>
    <comment ref="F43" authorId="2" shapeId="0">
      <text>
        <r>
          <rPr>
            <b/>
            <sz val="9"/>
            <color indexed="81"/>
            <rFont val="Tahoma"/>
            <family val="2"/>
          </rPr>
          <t>José Joaquin Calvo Domingo:</t>
        </r>
        <r>
          <rPr>
            <sz val="9"/>
            <color indexed="81"/>
            <rFont val="Tahoma"/>
            <family val="2"/>
          </rPr>
          <t xml:space="preserve">
Este año se realizaron 6 planaes de manejo con financiamiento externo, mas  o menos se pueden hacer un promedio de 3 al año tambien con fondos externos, el costo de cada actualoizcion anda cerca de los 15,000 dolares.</t>
        </r>
      </text>
    </comment>
    <comment ref="F44"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R44" authorId="0" shapeId="0">
      <text>
        <r>
          <rPr>
            <b/>
            <sz val="9"/>
            <color indexed="81"/>
            <rFont val="Tahoma"/>
            <family val="2"/>
          </rPr>
          <t>Edwin Vega-Araya:</t>
        </r>
        <r>
          <rPr>
            <sz val="9"/>
            <color indexed="81"/>
            <rFont val="Tahoma"/>
            <family val="2"/>
          </rPr>
          <t xml:space="preserve">
La academia y otros se autofinancian, pero no tienen capacidad de nuevas parcelas.</t>
        </r>
      </text>
    </comment>
    <comment ref="E45"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F45"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t>
        </r>
      </text>
    </comment>
    <comment ref="E47"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F47" authorId="0" shapeId="0">
      <text>
        <r>
          <rPr>
            <b/>
            <sz val="9"/>
            <color indexed="81"/>
            <rFont val="Tahoma"/>
            <family val="2"/>
          </rPr>
          <t>Edwin Vega-Araya:</t>
        </r>
        <r>
          <rPr>
            <sz val="9"/>
            <color indexed="81"/>
            <rFont val="Tahoma"/>
            <family val="2"/>
          </rPr>
          <t xml:space="preserve">
Financiación de MACOBIO para incorporar los indicadores de Evaluación del PPSA al SINIA</t>
        </r>
      </text>
    </comment>
    <comment ref="F49" authorId="3" shapeId="0">
      <text>
        <r>
          <rPr>
            <b/>
            <sz val="9"/>
            <color indexed="81"/>
            <rFont val="Tahoma"/>
            <family val="2"/>
          </rPr>
          <t>Magally Castro Alvarez:</t>
        </r>
        <r>
          <rPr>
            <sz val="9"/>
            <color indexed="81"/>
            <rFont val="Tahoma"/>
            <family val="2"/>
          </rPr>
          <t xml:space="preserve">
Esto inlcuye fondos SINAC y alguna contrapartida del proyecto MAPCOBIO  y de CB para fortalecer el tema.</t>
        </r>
      </text>
    </comment>
    <comment ref="G49" authorId="3" shapeId="0">
      <text>
        <r>
          <rPr>
            <b/>
            <sz val="9"/>
            <color indexed="81"/>
            <rFont val="Tahoma"/>
            <family val="2"/>
          </rPr>
          <t>Magally Castro Alvarez:</t>
        </r>
        <r>
          <rPr>
            <sz val="9"/>
            <color indexed="81"/>
            <rFont val="Tahoma"/>
            <family val="2"/>
          </rPr>
          <t xml:space="preserve">
Fondos SINAC para acciones exporadicas de los consejos locales. Alimentacion para reunions mensuales, entre otros.  Para su funcionamiento pero no para su fortalecimiento.</t>
        </r>
      </text>
    </comment>
    <comment ref="E51"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G53" authorId="0" shapeId="0">
      <text>
        <r>
          <rPr>
            <b/>
            <sz val="9"/>
            <color indexed="81"/>
            <rFont val="Tahoma"/>
            <family val="2"/>
          </rPr>
          <t>Edwin Vega-Araya:</t>
        </r>
        <r>
          <rPr>
            <sz val="9"/>
            <color indexed="81"/>
            <rFont val="Tahoma"/>
            <family val="2"/>
          </rPr>
          <t xml:space="preserve">
Se valoran acciones aisladas relacionadas y no articuladas en una estrategia.</t>
        </r>
      </text>
    </comment>
    <comment ref="D58" authorId="0" shapeId="0">
      <text>
        <r>
          <rPr>
            <b/>
            <sz val="9"/>
            <color indexed="81"/>
            <rFont val="Tahoma"/>
            <family val="2"/>
          </rPr>
          <t>Edwin Vega-Araya:</t>
        </r>
        <r>
          <rPr>
            <sz val="9"/>
            <color indexed="81"/>
            <rFont val="Tahoma"/>
            <family val="2"/>
          </rPr>
          <t xml:space="preserve">
SONIA, DOCUMENTO DE MARLEN, QUE LA SOCIEDAD SEPA QUE HAY ORDENAMIENTO TERRRITORIAL.  Ella hizo un mapa de zonificación.</t>
        </r>
      </text>
    </comment>
    <comment ref="E58"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F58"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E61"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F61" authorId="0" shapeId="0">
      <text>
        <r>
          <rPr>
            <b/>
            <sz val="9"/>
            <color indexed="81"/>
            <rFont val="Tahoma"/>
            <family val="2"/>
          </rPr>
          <t>Edwin Vega-Araya:</t>
        </r>
        <r>
          <rPr>
            <sz val="9"/>
            <color indexed="81"/>
            <rFont val="Tahoma"/>
            <family val="2"/>
          </rPr>
          <t xml:space="preserve">
MANO DE OBRA ESTATAL:
Actualmente SINAC tiene 2 profesionales tiempo completo en CADETI (1200000*2*13 = 31,200,000). 
+ en el MAG hay 2 profesionales tiempo completo (31,200,000) 
+ 3 del INTA de 1/4 de tiempo que dedican (1200000*3*13/4 = 11,700,000) 
+ 5 del MAG en el campo que hacen los planes de finca y los proyectos (1/2 tiempo del proyecto con sus viáticos correspondientes: 750,000*5*13/2 = 24,375,000)
TOTAL = 98,475,000 colones.
FONDOS DISPONIBLES PARA FINCAS: 
$2,600,000 - 30% del 2017 al 2019 
$650,000 - 30% del 2020 al 2025</t>
        </r>
      </text>
    </comment>
    <comment ref="E68"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F68"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E69"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U71" authorId="0" shapeId="0">
      <text>
        <r>
          <rPr>
            <b/>
            <sz val="9"/>
            <color indexed="81"/>
            <rFont val="Tahoma"/>
            <family val="2"/>
          </rPr>
          <t>Edwin Vega-Araya:</t>
        </r>
        <r>
          <rPr>
            <sz val="9"/>
            <color indexed="81"/>
            <rFont val="Tahoma"/>
            <family val="2"/>
          </rPr>
          <t xml:space="preserve">
Se supone que 5/6 de los $90,000 se usan en ASP y 1/6 en otras zonas ABRE.</t>
        </r>
      </text>
    </comment>
    <comment ref="E73" authorId="4"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E75"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E79"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U79" authorId="0" shapeId="0">
      <text>
        <r>
          <rPr>
            <b/>
            <sz val="9"/>
            <color indexed="81"/>
            <rFont val="Tahoma"/>
            <family val="2"/>
          </rPr>
          <t>Edwin Vega-Araya:</t>
        </r>
        <r>
          <rPr>
            <sz val="9"/>
            <color indexed="81"/>
            <rFont val="Tahoma"/>
            <family val="2"/>
          </rPr>
          <t xml:space="preserve">
La idea es usar eso para implementar el diseño que salga del apoyo de FAO</t>
        </r>
      </text>
    </comment>
    <comment ref="U80" authorId="0" shapeId="0">
      <text>
        <r>
          <rPr>
            <b/>
            <sz val="9"/>
            <color indexed="81"/>
            <rFont val="Tahoma"/>
            <family val="2"/>
          </rPr>
          <t>Edwin Vega-Araya:</t>
        </r>
        <r>
          <rPr>
            <sz val="9"/>
            <color indexed="81"/>
            <rFont val="Tahoma"/>
            <family val="2"/>
          </rPr>
          <t xml:space="preserve">
Incluye el coordinador de MRV de la secretaría y el desarrollo del SM para Plantaciones forestales y SAF.  Entonces contempla fases A y C de la propuesta.</t>
        </r>
      </text>
    </comment>
    <comment ref="F81" authorId="3" shapeId="0">
      <text>
        <r>
          <rPr>
            <b/>
            <sz val="9"/>
            <color indexed="81"/>
            <rFont val="Tahoma"/>
            <family val="2"/>
          </rPr>
          <t>Magally Castro Alvarez:</t>
        </r>
        <r>
          <rPr>
            <sz val="9"/>
            <color indexed="81"/>
            <rFont val="Tahoma"/>
            <family val="2"/>
          </rPr>
          <t xml:space="preserve">
En cada año se está incluyendo salarios y combustible de 4 funcionarios en 4 AC.  Que incluye acciones aisladas de gestión en territorios indigenas hacia la conservación y uso sostenible de la biodiversidad  (en muy pequeña escala)</t>
        </r>
      </text>
    </comment>
    <comment ref="G81" authorId="3" shapeId="0">
      <text>
        <r>
          <rPr>
            <b/>
            <sz val="9"/>
            <color indexed="81"/>
            <rFont val="Tahoma"/>
            <family val="2"/>
          </rPr>
          <t>Magally Castro Alvarez:</t>
        </r>
        <r>
          <rPr>
            <sz val="9"/>
            <color indexed="81"/>
            <rFont val="Tahoma"/>
            <family val="2"/>
          </rPr>
          <t xml:space="preserve">
Incluye lo expuesto en el punto anterior (año 2017).  Más fondos para dos talleres con el objetivo de sistematizar lo que SINAC ha realizado en dos territorios indigenas.  Implica un proceso interno 
</t>
        </r>
      </text>
    </comment>
    <comment ref="E88"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 ref="U108" authorId="0" shapeId="0">
      <text>
        <r>
          <rPr>
            <b/>
            <sz val="9"/>
            <color indexed="81"/>
            <rFont val="Tahoma"/>
            <family val="2"/>
          </rPr>
          <t>Edwin Vega-Araya:</t>
        </r>
        <r>
          <rPr>
            <sz val="9"/>
            <color indexed="81"/>
            <rFont val="Tahoma"/>
            <family val="2"/>
          </rPr>
          <t xml:space="preserve">
Identificar en la fórmula en el Archivo Plan de Implementación V7 las actividades de "Plan Adq FPrep2" que integran cada monto.</t>
        </r>
      </text>
    </comment>
    <comment ref="V108" authorId="0" shapeId="0">
      <text>
        <r>
          <rPr>
            <b/>
            <sz val="9"/>
            <color indexed="81"/>
            <rFont val="Tahoma"/>
            <family val="2"/>
          </rPr>
          <t xml:space="preserve">Edwin Vega-Araya: </t>
        </r>
        <r>
          <rPr>
            <sz val="9"/>
            <color indexed="81"/>
            <rFont val="Tahoma"/>
            <family val="2"/>
          </rPr>
          <t xml:space="preserve">Revisar en el Plan de Adquisiciones la distribución entre 2016, 2017 y 2018 de estos fondos.
</t>
        </r>
      </text>
    </comment>
    <comment ref="E111"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E113"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F113" authorId="0" shapeId="0">
      <text>
        <r>
          <rPr>
            <b/>
            <sz val="9"/>
            <color indexed="81"/>
            <rFont val="Tahoma"/>
            <family val="2"/>
          </rPr>
          <t>Edwin Vega-Araya:</t>
        </r>
        <r>
          <rPr>
            <sz val="9"/>
            <color indexed="81"/>
            <rFont val="Tahoma"/>
            <family val="2"/>
          </rPr>
          <t xml:space="preserve">
costo por capacitación es aproximado según la Gerencia de Participación Ciudadana y Gobernanza (300,000 colones)</t>
        </r>
      </text>
    </comment>
    <comment ref="E114"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F114" authorId="0" shapeId="0">
      <text>
        <r>
          <rPr>
            <b/>
            <sz val="9"/>
            <color indexed="81"/>
            <rFont val="Tahoma"/>
            <family val="2"/>
          </rPr>
          <t>Edwin Vega-Araya:</t>
        </r>
        <r>
          <rPr>
            <sz val="9"/>
            <color indexed="81"/>
            <rFont val="Tahoma"/>
            <family val="2"/>
          </rPr>
          <t xml:space="preserve">
Los costos sin y con REDD+ son iguales corresponden a la operación del departamento.  Zoila pasó el dato el 15/11/2016 por email.   Se agrega el aporte en la situación Con REDD+ de los aportes de la Preparación de la Segunda donación.</t>
        </r>
      </text>
    </comment>
    <comment ref="E117"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F117" authorId="0" shapeId="0">
      <text>
        <r>
          <rPr>
            <b/>
            <sz val="9"/>
            <color indexed="81"/>
            <rFont val="Tahoma"/>
            <family val="2"/>
          </rPr>
          <t>Edwin Vega-Araya:</t>
        </r>
        <r>
          <rPr>
            <sz val="9"/>
            <color indexed="81"/>
            <rFont val="Tahoma"/>
            <family val="2"/>
          </rPr>
          <t xml:space="preserve">
Es una actividad nueva por lo que no lleva "Sin REDD+"</t>
        </r>
      </text>
    </comment>
    <comment ref="E119"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Directriz ministerial con lo del Programa de Bosques y Desarrollo Rural).  Serían profesionales.</t>
        </r>
      </text>
    </comment>
    <comment ref="G119" authorId="0" shapeId="0">
      <text>
        <r>
          <rPr>
            <b/>
            <sz val="9"/>
            <color indexed="81"/>
            <rFont val="Tahoma"/>
            <family val="2"/>
          </rPr>
          <t>Edwin Vega-Araya:</t>
        </r>
        <r>
          <rPr>
            <sz val="9"/>
            <color indexed="81"/>
            <rFont val="Tahoma"/>
            <family val="2"/>
          </rPr>
          <t xml:space="preserve">
Se supone un incremento anual en costos del 5%</t>
        </r>
      </text>
    </comment>
    <comment ref="E120"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E122"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E123"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E125"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E127" authorId="0" shapeId="0">
      <text>
        <r>
          <rPr>
            <b/>
            <sz val="9"/>
            <color indexed="81"/>
            <rFont val="Tahoma"/>
            <family val="2"/>
          </rPr>
          <t>Edwin Vega-Araya:</t>
        </r>
        <r>
          <rPr>
            <sz val="9"/>
            <color indexed="81"/>
            <rFont val="Tahoma"/>
            <family val="2"/>
          </rPr>
          <t xml:space="preserve">
Promovido por PNUD</t>
        </r>
      </text>
    </comment>
    <comment ref="E129"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F129" authorId="0" shapeId="0">
      <text>
        <r>
          <rPr>
            <b/>
            <sz val="9"/>
            <color indexed="81"/>
            <rFont val="Tahoma"/>
            <family val="2"/>
          </rPr>
          <t>Edwin Vega-Araya:</t>
        </r>
        <r>
          <rPr>
            <sz val="9"/>
            <color indexed="81"/>
            <rFont val="Tahoma"/>
            <family val="2"/>
          </rPr>
          <t xml:space="preserve">
Se estima el costo de incorporar una finca adicional al PPN como el tiempo horas técnico y profesional dedicados a visitas y asistencia técnica al finquero para el convencimiento y desarrollo de actividades. Un profesional y un técnico que hagan 6 visitas de campo de 1 hora cada visita.  Una visita cuesta 7,000 (hora del profesional) + 5,000 (hora del técnico) + 5,000 (combustible) + 4,000 (media de viáticos) = 21,000.  Por lo tanto 6 visitas cuestan = 126,000 colones.</t>
        </r>
      </text>
    </comment>
    <comment ref="E133"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F133" authorId="0" shapeId="0">
      <text>
        <r>
          <rPr>
            <b/>
            <sz val="9"/>
            <color indexed="81"/>
            <rFont val="Tahoma"/>
            <family val="2"/>
          </rPr>
          <t>Edwin Vega-Araya:</t>
        </r>
        <r>
          <rPr>
            <sz val="9"/>
            <color indexed="81"/>
            <rFont val="Tahoma"/>
            <family val="2"/>
          </rPr>
          <t xml:space="preserve">
Los 15.000.000 de capacitación es por capacitar 200 personas por año a un costo de 75.000 por persona.</t>
        </r>
      </text>
    </comment>
    <comment ref="E136"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E139"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R139" authorId="1" shapeId="0">
      <text>
        <r>
          <rPr>
            <b/>
            <sz val="9"/>
            <color indexed="81"/>
            <rFont val="Tahoma"/>
            <family val="2"/>
          </rPr>
          <t>Carlos Varela Jimenez:</t>
        </r>
        <r>
          <rPr>
            <sz val="9"/>
            <color indexed="81"/>
            <rFont val="Tahoma"/>
            <family val="2"/>
          </rPr>
          <t xml:space="preserve">
Se financia con pagos de la regencia más otros recursos del CIAgro</t>
        </r>
      </text>
    </comment>
    <comment ref="E140"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E141"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E145" authorId="0" shapeId="0">
      <text>
        <r>
          <rPr>
            <b/>
            <sz val="9"/>
            <color indexed="81"/>
            <rFont val="Tahoma"/>
            <family val="2"/>
          </rPr>
          <t>Edwin Vega-Araya:</t>
        </r>
        <r>
          <rPr>
            <sz val="9"/>
            <color indexed="81"/>
            <rFont val="Tahoma"/>
            <family val="2"/>
          </rPr>
          <t xml:space="preserve">
En PAAs de EV</t>
        </r>
      </text>
    </comment>
    <comment ref="F148" authorId="2" shapeId="0">
      <text>
        <r>
          <rPr>
            <b/>
            <sz val="9"/>
            <color indexed="81"/>
            <rFont val="Tahoma"/>
            <family val="2"/>
          </rPr>
          <t>José Joaquin Calvo Domingo:</t>
        </r>
        <r>
          <rPr>
            <sz val="9"/>
            <color indexed="81"/>
            <rFont val="Tahoma"/>
            <family val="2"/>
          </rPr>
          <t xml:space="preserve">
Este año se realizaron 6 planaes de manejo con financiamiento externo, mas  o menos se pueden hacer un promedio de 3 al año tambien con fondos externos, el costo de cada actualoizcion anda cerca de los 15,000 dolares.</t>
        </r>
      </text>
    </comment>
    <comment ref="F149"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R149" authorId="0" shapeId="0">
      <text>
        <r>
          <rPr>
            <b/>
            <sz val="9"/>
            <color indexed="81"/>
            <rFont val="Tahoma"/>
            <family val="2"/>
          </rPr>
          <t>Edwin Vega-Araya:</t>
        </r>
        <r>
          <rPr>
            <sz val="9"/>
            <color indexed="81"/>
            <rFont val="Tahoma"/>
            <family val="2"/>
          </rPr>
          <t xml:space="preserve">
La academia y otros se autofinancian, pero no tienen capacidad de nuevas parcelas.</t>
        </r>
      </text>
    </comment>
    <comment ref="E150"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F150"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t>
        </r>
      </text>
    </comment>
    <comment ref="E152"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F152" authorId="0" shapeId="0">
      <text>
        <r>
          <rPr>
            <b/>
            <sz val="9"/>
            <color indexed="81"/>
            <rFont val="Tahoma"/>
            <family val="2"/>
          </rPr>
          <t>Edwin Vega-Araya:</t>
        </r>
        <r>
          <rPr>
            <sz val="9"/>
            <color indexed="81"/>
            <rFont val="Tahoma"/>
            <family val="2"/>
          </rPr>
          <t xml:space="preserve">
Financiación de MACOBIO para incorporar los indicadores de Evaluación del PPSA al SINIA</t>
        </r>
      </text>
    </comment>
    <comment ref="F154" authorId="3" shapeId="0">
      <text>
        <r>
          <rPr>
            <b/>
            <sz val="9"/>
            <color indexed="81"/>
            <rFont val="Tahoma"/>
            <family val="2"/>
          </rPr>
          <t>Magally Castro Alvarez:</t>
        </r>
        <r>
          <rPr>
            <sz val="9"/>
            <color indexed="81"/>
            <rFont val="Tahoma"/>
            <family val="2"/>
          </rPr>
          <t xml:space="preserve">
Esto inlcuye fondos SINAC y alguna contrapartida del proyecto MAPCOBIO  y de CB para fortalecer el tema.</t>
        </r>
      </text>
    </comment>
    <comment ref="G154" authorId="3" shapeId="0">
      <text>
        <r>
          <rPr>
            <b/>
            <sz val="9"/>
            <color indexed="81"/>
            <rFont val="Tahoma"/>
            <family val="2"/>
          </rPr>
          <t>Magally Castro Alvarez:</t>
        </r>
        <r>
          <rPr>
            <sz val="9"/>
            <color indexed="81"/>
            <rFont val="Tahoma"/>
            <family val="2"/>
          </rPr>
          <t xml:space="preserve">
Fondos SINAC para acciones exporadicas de los consejos locales. Alimentacion para reunions mensuales, entre otros.  Para su funcionamiento pero no para su fortalecimiento.</t>
        </r>
      </text>
    </comment>
    <comment ref="E156"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G158" authorId="0" shapeId="0">
      <text>
        <r>
          <rPr>
            <b/>
            <sz val="9"/>
            <color indexed="81"/>
            <rFont val="Tahoma"/>
            <family val="2"/>
          </rPr>
          <t>Edwin Vega-Araya:</t>
        </r>
        <r>
          <rPr>
            <sz val="9"/>
            <color indexed="81"/>
            <rFont val="Tahoma"/>
            <family val="2"/>
          </rPr>
          <t xml:space="preserve">
Se valoran acciones aisladas relacionadas y no articuladas en una estrategia.</t>
        </r>
      </text>
    </comment>
    <comment ref="E163"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F163"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E166"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F166" authorId="0" shapeId="0">
      <text>
        <r>
          <rPr>
            <b/>
            <sz val="9"/>
            <color indexed="81"/>
            <rFont val="Tahoma"/>
            <family val="2"/>
          </rPr>
          <t>Edwin Vega-Araya:</t>
        </r>
        <r>
          <rPr>
            <sz val="9"/>
            <color indexed="81"/>
            <rFont val="Tahoma"/>
            <family val="2"/>
          </rPr>
          <t xml:space="preserve">
MANO DE OBRA ESTATAL:
Actualmente SINAC tiene 2 profesionales tiempo completo en CADETI (1200000*2*13 = 31,200,000). 
+ en el MAG hay 2 profesionales tiempo completo (31,200,000) 
+ 3 del INTA de 1/4 de tiempo que dedican (1200000*3*13/4 = 11,700,000) 
+ 5 del MAG en el campo que hacen los planes de finca y los proyectos (1/2 tiempo del proyecto con sus viáticos correspondientes: 750,000*5*13/2 = 24,375,000)
TOTAL = 98,475,000 colones.
FONDOS DISPONIBLES PARA FINCAS: 
$2,600,000 - 30% del 2017 al 2019 
$650,000 - 30% del 2020 al 2025</t>
        </r>
      </text>
    </comment>
    <comment ref="E173"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F173"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E174"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U176" authorId="0" shapeId="0">
      <text>
        <r>
          <rPr>
            <b/>
            <sz val="9"/>
            <color indexed="81"/>
            <rFont val="Tahoma"/>
            <family val="2"/>
          </rPr>
          <t>Edwin Vega-Araya:</t>
        </r>
        <r>
          <rPr>
            <sz val="9"/>
            <color indexed="81"/>
            <rFont val="Tahoma"/>
            <family val="2"/>
          </rPr>
          <t xml:space="preserve">
Se supone que 5/6 de los $90,000 se usan en ASP y 1/6 en otras zonas ABRE.</t>
        </r>
      </text>
    </comment>
    <comment ref="E178" authorId="4"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E180"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E184"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U184" authorId="0" shapeId="0">
      <text>
        <r>
          <rPr>
            <b/>
            <sz val="9"/>
            <color indexed="81"/>
            <rFont val="Tahoma"/>
            <family val="2"/>
          </rPr>
          <t>Edwin Vega-Araya:</t>
        </r>
        <r>
          <rPr>
            <sz val="9"/>
            <color indexed="81"/>
            <rFont val="Tahoma"/>
            <family val="2"/>
          </rPr>
          <t xml:space="preserve">
La idea es usar eso para implementar el diseño que salga del apoyo de FAO</t>
        </r>
      </text>
    </comment>
    <comment ref="U185" authorId="0" shapeId="0">
      <text>
        <r>
          <rPr>
            <b/>
            <sz val="9"/>
            <color indexed="81"/>
            <rFont val="Tahoma"/>
            <family val="2"/>
          </rPr>
          <t>Edwin Vega-Araya:</t>
        </r>
        <r>
          <rPr>
            <sz val="9"/>
            <color indexed="81"/>
            <rFont val="Tahoma"/>
            <family val="2"/>
          </rPr>
          <t xml:space="preserve">
Incluye el coordinador de MRV de la secretaría y el desarrollo del SM para Plantaciones forestales y SAF.  Entonces contempla fases A y C de la propuesta.</t>
        </r>
      </text>
    </comment>
    <comment ref="F186" authorId="3" shapeId="0">
      <text>
        <r>
          <rPr>
            <b/>
            <sz val="9"/>
            <color indexed="81"/>
            <rFont val="Tahoma"/>
            <family val="2"/>
          </rPr>
          <t>Magally Castro Alvarez:</t>
        </r>
        <r>
          <rPr>
            <sz val="9"/>
            <color indexed="81"/>
            <rFont val="Tahoma"/>
            <family val="2"/>
          </rPr>
          <t xml:space="preserve">
En cada año se está incluyendo salarios y combustible de 4 funcionarios en 4 AC.  Que incluye acciones aisladas de gestión en territorios indigenas hacia la conservación y uso sostenible de la biodiversidad  (en muy pequeña escala)</t>
        </r>
      </text>
    </comment>
    <comment ref="G186" authorId="3" shapeId="0">
      <text>
        <r>
          <rPr>
            <b/>
            <sz val="9"/>
            <color indexed="81"/>
            <rFont val="Tahoma"/>
            <family val="2"/>
          </rPr>
          <t>Magally Castro Alvarez:</t>
        </r>
        <r>
          <rPr>
            <sz val="9"/>
            <color indexed="81"/>
            <rFont val="Tahoma"/>
            <family val="2"/>
          </rPr>
          <t xml:space="preserve">
Incluye lo expuesto en el punto anterior (año 2017).  Más fondos para dos talleres con el objetivo de sistematizar lo que SINAC ha realizado en dos territorios indigenas.  Implica un proceso interno 
</t>
        </r>
      </text>
    </comment>
    <comment ref="E193"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List>
</comments>
</file>

<file path=xl/comments7.xml><?xml version="1.0" encoding="utf-8"?>
<comments xmlns="http://schemas.openxmlformats.org/spreadsheetml/2006/main">
  <authors>
    <author>Edwin Vega-Araya</author>
    <author>harce</author>
    <author>Carlos Varela Jimenez</author>
    <author>José Joaquin Calvo Domingo</author>
    <author>Magally Castro Alvarez</author>
    <author>Vega_Araya Edwin_Eduardo</author>
  </authors>
  <commentList>
    <comment ref="P1" authorId="0" shapeId="0">
      <text>
        <r>
          <rPr>
            <b/>
            <sz val="9"/>
            <color indexed="81"/>
            <rFont val="Tahoma"/>
            <family val="2"/>
          </rPr>
          <t>Edwin Vega-Araya:</t>
        </r>
        <r>
          <rPr>
            <sz val="9"/>
            <color indexed="81"/>
            <rFont val="Tahoma"/>
            <family val="2"/>
          </rPr>
          <t xml:space="preserve">
Versión original, desactualizado.  Ver columnas D a G para versión actualizada.</t>
        </r>
      </text>
    </comment>
    <comment ref="A2" authorId="0" shapeId="0">
      <text>
        <r>
          <rPr>
            <b/>
            <sz val="9"/>
            <color indexed="81"/>
            <rFont val="Tahoma"/>
            <family val="2"/>
          </rPr>
          <t>Edwin Vega-Araya:</t>
        </r>
        <r>
          <rPr>
            <sz val="9"/>
            <color indexed="81"/>
            <rFont val="Tahoma"/>
            <family val="2"/>
          </rPr>
          <t xml:space="preserve">
Originales, ver columnas C yN para la versión actualizada.</t>
        </r>
      </text>
    </comment>
    <comment ref="R2" authorId="0" shapeId="0">
      <text>
        <r>
          <rPr>
            <b/>
            <sz val="9"/>
            <color indexed="81"/>
            <rFont val="Tahoma"/>
            <family val="2"/>
          </rPr>
          <t>Edwin Vega-Araya:</t>
        </r>
        <r>
          <rPr>
            <sz val="9"/>
            <color indexed="81"/>
            <rFont val="Tahoma"/>
            <family val="2"/>
          </rPr>
          <t xml:space="preserve">
Implementador principal  (IP), Implementador de Apoyo (IA)</t>
        </r>
      </text>
    </comment>
    <comment ref="BD2" authorId="0" shapeId="0">
      <text>
        <r>
          <rPr>
            <b/>
            <sz val="9"/>
            <color indexed="81"/>
            <rFont val="Tahoma"/>
            <family val="2"/>
          </rPr>
          <t>Edwin Vega-Araya:</t>
        </r>
        <r>
          <rPr>
            <sz val="9"/>
            <color indexed="81"/>
            <rFont val="Tahoma"/>
            <family val="2"/>
          </rPr>
          <t xml:space="preserve">
El Plan Financiero desarrollado por Terra Global para la Secretaría de REDD+ CR tiene los siguientes capítulos:
1. REDD+ </t>
        </r>
        <r>
          <rPr>
            <b/>
            <sz val="9"/>
            <color indexed="81"/>
            <rFont val="Tahoma"/>
            <family val="2"/>
          </rPr>
          <t>PROGRAM ADMINISTRATION AND MANAGEMENT</t>
        </r>
        <r>
          <rPr>
            <sz val="9"/>
            <color indexed="81"/>
            <rFont val="Tahoma"/>
            <family val="2"/>
          </rPr>
          <t xml:space="preserve"> COSTS
   1.1 STAFFING COSTS
   1.2 KEY </t>
        </r>
        <r>
          <rPr>
            <b/>
            <sz val="9"/>
            <color indexed="81"/>
            <rFont val="Tahoma"/>
            <family val="2"/>
          </rPr>
          <t>CONSULTANCIES AND STUDIES</t>
        </r>
        <r>
          <rPr>
            <sz val="9"/>
            <color indexed="81"/>
            <rFont val="Tahoma"/>
            <family val="2"/>
          </rPr>
          <t xml:space="preserve">
   1.3 TRAVEL TO SUPPORT MANAGEMENT OF ER PROGRAM
   1.5 STAKEHOLDER ENGAGEMENT
      1.5.1 Stakeholder Meetings
      1.5.2 Stakeholder Consultants and Communication
   1.6 SAFEGUARDS AND REDRESS SYSTEMS
      1.6.1 Safeguards Monitoring
      1.6.2 Redress and Grievances
   1.7 BENEFITS PLAN MANAGEMENT
   1.8 EMISSION REDUCTION QUANTIFICATION, VERIFICATION AND ISSUANCE
2 REDD+ PROGRAM ACTIVITIES COSTS
   2.1    </t>
        </r>
        <r>
          <rPr>
            <b/>
            <sz val="9"/>
            <color indexed="81"/>
            <rFont val="Tahoma"/>
            <family val="2"/>
          </rPr>
          <t>FONAFIFO</t>
        </r>
        <r>
          <rPr>
            <sz val="9"/>
            <color indexed="81"/>
            <rFont val="Tahoma"/>
            <family val="2"/>
          </rPr>
          <t xml:space="preserve"> PAYMENT FOR ENVIRONMENTAL SERVICES (PSA)
   2.2    </t>
        </r>
        <r>
          <rPr>
            <b/>
            <sz val="9"/>
            <color indexed="81"/>
            <rFont val="Tahoma"/>
            <family val="2"/>
          </rPr>
          <t>SINAC</t>
        </r>
        <r>
          <rPr>
            <sz val="9"/>
            <color indexed="81"/>
            <rFont val="Tahoma"/>
            <family val="2"/>
          </rPr>
          <t xml:space="preserve"> INCREASED GOVERNANCE/SIZE OF PROTECTED AREAS
Los puestos en Negrita son los que aparecen en la tabla</t>
        </r>
      </text>
    </comment>
    <comment ref="I3" authorId="0" shapeId="0">
      <text>
        <r>
          <rPr>
            <b/>
            <sz val="9"/>
            <color indexed="81"/>
            <rFont val="Tahoma"/>
            <family val="2"/>
          </rPr>
          <t>Edwin Vega-Araya:</t>
        </r>
        <r>
          <rPr>
            <sz val="9"/>
            <color indexed="81"/>
            <rFont val="Tahoma"/>
            <family val="2"/>
          </rPr>
          <t xml:space="preserve">
VER ABAJO EL SIGNIFICADO DE LOS CÓDIGOS</t>
        </r>
      </text>
    </comment>
    <comment ref="J3" authorId="0" shapeId="0">
      <text>
        <r>
          <rPr>
            <b/>
            <sz val="9"/>
            <color indexed="81"/>
            <rFont val="Tahoma"/>
            <family val="2"/>
          </rPr>
          <t>Edwin Vega-Araya:</t>
        </r>
        <r>
          <rPr>
            <sz val="9"/>
            <color indexed="81"/>
            <rFont val="Tahoma"/>
            <family val="2"/>
          </rPr>
          <t xml:space="preserve">
VER ABAJO EL SIGNIFICADO DE LOS CÓDIGOS</t>
        </r>
      </text>
    </comment>
    <comment ref="CP3" authorId="0" shapeId="0">
      <text>
        <r>
          <rPr>
            <b/>
            <sz val="9"/>
            <color indexed="81"/>
            <rFont val="Tahoma"/>
            <family val="2"/>
          </rPr>
          <t>Edwin Vega-Araya:</t>
        </r>
        <r>
          <rPr>
            <sz val="9"/>
            <color indexed="81"/>
            <rFont val="Tahoma"/>
            <family val="2"/>
          </rPr>
          <t xml:space="preserve">
Identificar en la fórmula en el Archivo Plan de Implementación V7 las actividades de "Plan Adq FPrep2" que integran cada monto.</t>
        </r>
      </text>
    </comment>
    <comment ref="CQ3" authorId="0" shapeId="0">
      <text>
        <r>
          <rPr>
            <b/>
            <sz val="9"/>
            <color indexed="81"/>
            <rFont val="Tahoma"/>
            <family val="2"/>
          </rPr>
          <t xml:space="preserve">Edwin Vega-Araya: </t>
        </r>
        <r>
          <rPr>
            <sz val="9"/>
            <color indexed="81"/>
            <rFont val="Tahoma"/>
            <family val="2"/>
          </rPr>
          <t xml:space="preserve">Revisar en el Plan de Adquisiciones la distribución entre 2016, 2017 y 2018 de estos fondos.
</t>
        </r>
      </text>
    </comment>
    <comment ref="C6"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O6" authorId="0" shapeId="0">
      <text>
        <r>
          <rPr>
            <b/>
            <sz val="9"/>
            <color indexed="81"/>
            <rFont val="Tahoma"/>
            <family val="2"/>
          </rPr>
          <t>Edwin Vega-Araya:</t>
        </r>
        <r>
          <rPr>
            <sz val="9"/>
            <color indexed="81"/>
            <rFont val="Tahoma"/>
            <family val="2"/>
          </rPr>
          <t xml:space="preserve">
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r>
      </text>
    </comment>
    <comment ref="AI6" authorId="0" shapeId="0">
      <text>
        <r>
          <rPr>
            <b/>
            <sz val="9"/>
            <color indexed="81"/>
            <rFont val="Tahoma"/>
            <family val="2"/>
          </rPr>
          <t>Edwin Vega-Araya:</t>
        </r>
        <r>
          <rPr>
            <sz val="9"/>
            <color indexed="81"/>
            <rFont val="Tahoma"/>
            <family val="2"/>
          </rPr>
          <t xml:space="preserve">
La cifra en dólares se convierte a colones a un tipo de cambio de 550 colones por US$.  Supone un tamaño de finca medio de 20 ha. Y un costo de implementación de medidas según la estimación realizada en "Costos de Implementación en el campo".
Es un promedio ponderado donde los ponderadores vienen del Censo Agropecuario.  Se censaron 93 017 fincas con extención total de 2 406 418 ha lo que da un promedio de casi 26 ha por finca.  Como entre las fincas censadas van fincas de protección incluídas, se considera que 20 ha como extensión media de fincas ganaderas y 10 ha como extensión media de fincas agrícolas es bueno.  Los ponderadores usados se basan en que 1 044 909,6 / 2 406 418,4 = 43,4% es extensión dedicada a pastos; (167 163,4 + 377 214,2) / 2 406 418,4 = 22,6% es dedicada a labranza y cultivos permanentes.  736 502,2 / 2 406 418,4 = 30,6% es dedicada a bosques.  El resto (3,4%) es de otros usos.  Considerando solamente las extensiones dedicadas a pastos y las de agrícolas los ponderadores serían 43,4 x 100 / (43,4+22,6) = 65,8 para "ganaderas" y 22,6 x 100 / 66 = 34,2 para "agrícolas".  El supuesto para el cálculo es que el crédito se distribuirá proporcionalmente entre las hectáreas en ganadería y las hectáreas en agricultura según éstas se distribuyen en las fincas censadas.</t>
        </r>
      </text>
    </comment>
    <comment ref="AI7" authorId="0" shapeId="0">
      <text>
        <r>
          <rPr>
            <b/>
            <sz val="9"/>
            <color indexed="81"/>
            <rFont val="Tahoma"/>
            <family val="2"/>
          </rPr>
          <t>Edwin Vega-Araya:</t>
        </r>
        <r>
          <rPr>
            <sz val="9"/>
            <color indexed="81"/>
            <rFont val="Tahoma"/>
            <family val="2"/>
          </rPr>
          <t xml:space="preserve">
Para determinar el número de fincas que en promedio significan esta cantidad de ha, se divide entre 10 que es el tamaño de finca promedio.  En el indicador anteriror, para las fincas ganaderas, el divisor es 20 ya que se estima en 20 ha el tamaño de finca promedio de las mismas.</t>
        </r>
      </text>
    </comment>
    <comment ref="C8"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O8" authorId="0" shapeId="0">
      <text>
        <r>
          <rPr>
            <b/>
            <sz val="9"/>
            <color indexed="81"/>
            <rFont val="Tahoma"/>
            <family val="2"/>
          </rPr>
          <t>Edwin Vega-Araya:</t>
        </r>
        <r>
          <rPr>
            <sz val="9"/>
            <color indexed="81"/>
            <rFont val="Tahoma"/>
            <family val="2"/>
          </rPr>
          <t xml:space="preserve">
Se planteó en los presupuestos el incluir el diseño de un manual que busca promover la actividad forestal entre los dueños de fincas.  Actualmente se está en las fases iniciales de TDR, diseño, etc.
Como parte de la Estrategia de Fomento y Seguimiento al PSA que tiene SINAC para apoyar el PPSA.  Han creado un sistema de las fincas para determinar la visitación que se hace de los proyectos; y con extensión; diseño de materiales divulgativos; fortalecimiento institucional.  El tema de extensión se busca el Fomento, lo priorizaron pero en SINAC no se hace tan bien.  Ellos quieren entonces diseñar un manual (del capacitador + manualito del participante) que delimite esa extensión en SINAC y que pueda servir para formar a los funcionarios que sirva como capacitadores de otros funcionarios y organizaciones.  Todo estaba para hacerce la contratación directa de la UNA pero se complicó.  Si eso no pasa en 2016 entonces en 2017 pero ya está presupuestado los 20millones de colones que es lo que les cobraron.  Consiste en los materiales, diseñar el manual y la cpapacitación e imprimir 300 manuales.
SINAC tiene un proyecto MACOBIO que tiene sistematización de experiencias que se puede definir con quién se quiere trabajar.
Se le pidió a la UNA que hiciera un "plan de capacitaciones" con costos de las capacitaciones, por lo que no se tienen números exactos.
REDD+ podría ayudar en la continuidad de las capacitaciones.  Se pensaba formar unos 15 capacitadores que capacitaran cada uno unas 1 por área = 10 cursos por año.</t>
        </r>
      </text>
    </comment>
    <comment ref="BH8" authorId="0" shapeId="0">
      <text>
        <r>
          <rPr>
            <b/>
            <sz val="9"/>
            <color indexed="81"/>
            <rFont val="Tahoma"/>
            <family val="2"/>
          </rPr>
          <t>Edwin Vega-Araya:</t>
        </r>
        <r>
          <rPr>
            <sz val="9"/>
            <color indexed="81"/>
            <rFont val="Tahoma"/>
            <family val="2"/>
          </rPr>
          <t xml:space="preserve">
costo por capacitación es aproximado según la Gerencia de Participación Ciudadana y Gobernanza (300,000 colones)</t>
        </r>
      </text>
    </comment>
    <comment ref="A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C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O9" authorId="0" shapeId="0">
      <text>
        <r>
          <rPr>
            <b/>
            <sz val="9"/>
            <color indexed="81"/>
            <rFont val="Tahoma"/>
            <family val="2"/>
          </rPr>
          <t>Edwin Vega-Araya:</t>
        </r>
        <r>
          <rPr>
            <sz val="9"/>
            <color indexed="81"/>
            <rFont val="Tahoma"/>
            <family val="2"/>
          </rPr>
          <t xml:space="preserve">
Se basa en el Programa de Plantaciones de Aprovechamiento Forestal (PPAF) que es un financiamiento dirigido a productores agropecuarios para la siembra de árboles en sistemas agroforestales y silvopastoriles con la finalidad de producir madera y el servicio de mitigación de GEI. No pretende desplazar las actividades primarias del productor sean éstas pecuarias o agrícolas; sino más bien busca incorporar una actividad que generará ingreso financiero en el mediano plazo, que además aumenta la resiliencia de los productores ante el cambio climático y será fuente de servicios ambientales claves para una producción sostenible. Asimismo, el PPAF se visualiza como herramienta para la rehabilitación de paisajes forestales.</t>
        </r>
      </text>
    </comment>
    <comment ref="AL9" authorId="1" shapeId="0">
      <text>
        <r>
          <rPr>
            <b/>
            <sz val="9"/>
            <color indexed="81"/>
            <rFont val="Tahoma"/>
            <family val="2"/>
          </rPr>
          <t>harce:</t>
        </r>
        <r>
          <rPr>
            <sz val="9"/>
            <color indexed="81"/>
            <rFont val="Tahoma"/>
            <family val="2"/>
          </rPr>
          <t xml:space="preserve">
se supone que para ese año FONAFIFO será operador del sistema de Banca para el Desarrollo 
s</t>
        </r>
      </text>
    </comment>
    <comment ref="AT9" authorId="0" shapeId="0">
      <text>
        <r>
          <rPr>
            <b/>
            <sz val="9"/>
            <color indexed="81"/>
            <rFont val="Tahoma"/>
            <family val="2"/>
          </rPr>
          <t>Edwin Vega-Araya:</t>
        </r>
        <r>
          <rPr>
            <sz val="9"/>
            <color indexed="81"/>
            <rFont val="Tahoma"/>
            <family val="2"/>
          </rPr>
          <t xml:space="preserve">
Ojo que es el dato incremental, corregir al pasar.
CORREGIDO 14/11/2016</t>
        </r>
      </text>
    </comment>
    <comment ref="AY9" authorId="1" shapeId="0">
      <text>
        <r>
          <rPr>
            <b/>
            <sz val="9"/>
            <color indexed="81"/>
            <rFont val="Tahoma"/>
            <family val="2"/>
          </rPr>
          <t>harce:</t>
        </r>
        <r>
          <rPr>
            <sz val="9"/>
            <color indexed="81"/>
            <rFont val="Tahoma"/>
            <family val="2"/>
          </rPr>
          <t xml:space="preserve">
se estima que al menos 6 millones de dolares de los posibles beneficios de REDD+ deben pasar al programa de crédito para apoyar ele stablecimiento de plantaciones y sistemas agroforestales. Al colocar estos recursp en crédito esta ganando todo el sector forestal ya que se da sostenibilidad financiera debido a los retornos.
</t>
        </r>
        <r>
          <rPr>
            <b/>
            <sz val="9"/>
            <color indexed="81"/>
            <rFont val="Tahoma"/>
            <family val="2"/>
          </rPr>
          <t xml:space="preserve">evega:
</t>
        </r>
        <r>
          <rPr>
            <sz val="9"/>
            <color indexed="81"/>
            <rFont val="Tahoma"/>
            <family val="2"/>
          </rPr>
          <t>Se estima que se agregará 1,000,000 por año desde 2019 hasta 2023.</t>
        </r>
      </text>
    </comment>
    <comment ref="BH9" authorId="0" shapeId="0">
      <text>
        <r>
          <rPr>
            <b/>
            <sz val="9"/>
            <color indexed="81"/>
            <rFont val="Tahoma"/>
            <family val="2"/>
          </rPr>
          <t>Edwin Vega-Araya:</t>
        </r>
        <r>
          <rPr>
            <sz val="9"/>
            <color indexed="81"/>
            <rFont val="Tahoma"/>
            <family val="2"/>
          </rPr>
          <t xml:space="preserve">
Los costos sin y con REDD+ son iguales corresponden a la operación del departamento.  Zoila pasó el dato el 15/11/2016 por email.   Se agrega el aporte en la situación Con REDD+ de los aportes de la Preparación de la Segunda donación.</t>
        </r>
      </text>
    </comment>
    <comment ref="BV9"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BW9" authorId="0" shapeId="0">
      <text>
        <r>
          <rPr>
            <b/>
            <sz val="9"/>
            <color indexed="81"/>
            <rFont val="Tahoma"/>
            <family val="2"/>
          </rPr>
          <t>Edwin Vega-Araya:</t>
        </r>
        <r>
          <rPr>
            <sz val="9"/>
            <color indexed="81"/>
            <rFont val="Tahoma"/>
            <family val="2"/>
          </rPr>
          <t xml:space="preserve">
Se considera el aporte puntual de los fondos de la preparación, la mitad cada año.</t>
        </r>
      </text>
    </comment>
    <comment ref="C12"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O12" authorId="0" shapeId="0">
      <text>
        <r>
          <rPr>
            <b/>
            <sz val="9"/>
            <color indexed="81"/>
            <rFont val="Tahoma"/>
            <family val="2"/>
          </rPr>
          <t>Edwin Vega-Araya:</t>
        </r>
        <r>
          <rPr>
            <sz val="9"/>
            <color indexed="81"/>
            <rFont val="Tahoma"/>
            <family val="2"/>
          </rPr>
          <t xml:space="preserve">
El tema de Carbono-Neutralidad y mercado doméstico requieren definiciones para establecer una participación de REDD+.
Podría ser que el mismo REDD+ genere proyectos que sean reconocidos en el mercado doméstico, esto es, que algunos proyectos REDD+ más bien se financien con el MCCR.  
Lo de participar de alguna otra forma en algún sistema de certificación,  en principio no vimos cómo REDD+ se vincula y por ende no definimos ninguna actividad.  Hacen falta importantes definiciones relacionadas con la integración y priorización de sectores, y si REDD+ será parte del mercado doméstico.  Quedamos de conversar con Andrea por si estamos omitiendo algo.  Si lo hubiera, habría que generar un indicador de resultado y el costeo tal y como se hizo con la anterior (y se aprecia en el Excel adjunto).</t>
        </r>
      </text>
    </comment>
    <comment ref="BH12" authorId="0" shapeId="0">
      <text>
        <r>
          <rPr>
            <b/>
            <sz val="9"/>
            <color indexed="81"/>
            <rFont val="Tahoma"/>
            <family val="2"/>
          </rPr>
          <t>Edwin Vega-Araya:</t>
        </r>
        <r>
          <rPr>
            <sz val="9"/>
            <color indexed="81"/>
            <rFont val="Tahoma"/>
            <family val="2"/>
          </rPr>
          <t xml:space="preserve">
Es una actividad nueva por lo que no lleva "Sin REDD+"</t>
        </r>
      </text>
    </comment>
    <comment ref="BV12" authorId="0" shapeId="0">
      <text>
        <r>
          <rPr>
            <b/>
            <sz val="9"/>
            <color indexed="81"/>
            <rFont val="Tahoma"/>
            <family val="2"/>
          </rPr>
          <t>Edwin Vega-Araya:</t>
        </r>
        <r>
          <rPr>
            <sz val="9"/>
            <color indexed="81"/>
            <rFont val="Tahoma"/>
            <family val="2"/>
          </rPr>
          <t xml:space="preserve">
Consiste en una consultoría + un sistema de información digital en línea con el Sistema Nacional de Métrica que desarrolle la DCC.
Consultoría de un equipo que haga las dos cosas un año de duración $120,000.  La consultoría para el mecanismo de compensación que lleva parámetros similares está valorada en ese monto.</t>
        </r>
      </text>
    </comment>
    <comment ref="O14"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Directriz ministerial con lo del Programa de Bosques y Desarrollo Rural).  Serían profesionales.</t>
        </r>
      </text>
    </comment>
    <comment ref="AJ14" authorId="0" shapeId="0">
      <text>
        <r>
          <rPr>
            <b/>
            <sz val="9"/>
            <color indexed="81"/>
            <rFont val="Tahoma"/>
            <family val="2"/>
          </rPr>
          <t>Edwin Vega-Araya:</t>
        </r>
        <r>
          <rPr>
            <sz val="9"/>
            <color indexed="81"/>
            <rFont val="Tahoma"/>
            <family val="2"/>
          </rPr>
          <t xml:space="preserve">
Se espera al menos un taller de capacitación por región.</t>
        </r>
      </text>
    </comment>
    <comment ref="AS14" authorId="0" shapeId="0">
      <text>
        <r>
          <rPr>
            <b/>
            <sz val="9"/>
            <color indexed="81"/>
            <rFont val="Tahoma"/>
            <family val="2"/>
          </rPr>
          <t>Edwin Vega-Araya:</t>
        </r>
        <r>
          <rPr>
            <sz val="9"/>
            <color indexed="81"/>
            <rFont val="Tahoma"/>
            <family val="2"/>
          </rPr>
          <t xml:space="preserve">
Con REDD+ se podría incrementar la cantidad de talleres a cerca de 3 talleres anuales por región.</t>
        </r>
      </text>
    </comment>
    <comment ref="BI14" authorId="0" shapeId="0">
      <text>
        <r>
          <rPr>
            <b/>
            <sz val="9"/>
            <color indexed="81"/>
            <rFont val="Tahoma"/>
            <family val="2"/>
          </rPr>
          <t>Edwin Vega-Araya:</t>
        </r>
        <r>
          <rPr>
            <sz val="9"/>
            <color indexed="81"/>
            <rFont val="Tahoma"/>
            <family val="2"/>
          </rPr>
          <t xml:space="preserve">
Se supone un incremento anual en costos del 5%</t>
        </r>
      </text>
    </comment>
    <comment ref="BW14" authorId="0" shapeId="0">
      <text>
        <r>
          <rPr>
            <b/>
            <sz val="9"/>
            <color indexed="81"/>
            <rFont val="Tahoma"/>
            <family val="2"/>
          </rPr>
          <t>Edwin Vega-Araya:</t>
        </r>
        <r>
          <rPr>
            <sz val="9"/>
            <color indexed="81"/>
            <rFont val="Tahoma"/>
            <family val="2"/>
          </rPr>
          <t xml:space="preserve">
Se supone un incremento anual en costos del 5%</t>
        </r>
      </text>
    </comment>
    <comment ref="C15"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O15" authorId="0" shapeId="0">
      <text>
        <r>
          <rPr>
            <b/>
            <sz val="9"/>
            <color indexed="81"/>
            <rFont val="Tahoma"/>
            <family val="2"/>
          </rPr>
          <t>Edwin Vega-Araya:</t>
        </r>
        <r>
          <rPr>
            <sz val="9"/>
            <color indexed="81"/>
            <rFont val="Tahoma"/>
            <family val="2"/>
          </rPr>
          <t xml:space="preserve">
OJO SINAC está solicitando 33 funcionarios nuevos para extensión forestal en el contexto de Recuperación del paisaje.  SINAC no puede hacer nada si no entran estos funcionarios.  Directriz ministerial con lo del Programa de Bosques y Desarrollo Rural).  Serían profesionales.
A 1.200.000 más un equipamiento (VER DATOS VARELA)</t>
        </r>
      </text>
    </comment>
    <comment ref="BW15" authorId="0" shapeId="0">
      <text>
        <r>
          <rPr>
            <b/>
            <sz val="9"/>
            <color indexed="81"/>
            <rFont val="Tahoma"/>
            <family val="2"/>
          </rPr>
          <t>Edwin Vega-Araya:</t>
        </r>
        <r>
          <rPr>
            <sz val="9"/>
            <color indexed="81"/>
            <rFont val="Tahoma"/>
            <family val="2"/>
          </rPr>
          <t xml:space="preserve">
Se acumulan los del año anterior con los nuevos</t>
        </r>
      </text>
    </comment>
    <comment ref="A17" authorId="0" shapeId="0">
      <text>
        <r>
          <rPr>
            <b/>
            <sz val="9"/>
            <color indexed="81"/>
            <rFont val="Tahoma"/>
            <family val="2"/>
          </rPr>
          <t>Edwin Vega-Araya:</t>
        </r>
        <r>
          <rPr>
            <sz val="9"/>
            <color indexed="81"/>
            <rFont val="Tahoma"/>
            <family val="2"/>
          </rPr>
          <t xml:space="preserve">
Revisar porque debería ser la ONF ya que con la preparación hay $582.000 para fortalecer los modelos de negocio y no se visualiza.</t>
        </r>
      </text>
    </comment>
    <comment ref="C17"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O17" authorId="0" shapeId="0">
      <text>
        <r>
          <rPr>
            <b/>
            <sz val="9"/>
            <color indexed="81"/>
            <rFont val="Tahoma"/>
            <family val="2"/>
          </rPr>
          <t>Edwin Vega-Araya:</t>
        </r>
        <r>
          <rPr>
            <sz val="9"/>
            <color indexed="81"/>
            <rFont val="Tahoma"/>
            <family val="2"/>
          </rPr>
          <t xml:space="preserve">
OJO ES MÁS RESORTE DE LA ONF, LO QUE MINAE HACE ES SOLO apoyar. 
Consultar a María, German y Sonia</t>
        </r>
      </text>
    </comment>
    <comment ref="AS17" authorId="0" shapeId="0">
      <text>
        <r>
          <rPr>
            <b/>
            <sz val="9"/>
            <color indexed="81"/>
            <rFont val="Tahoma"/>
            <family val="2"/>
          </rPr>
          <t>Edwin Vega-Araya:</t>
        </r>
        <r>
          <rPr>
            <sz val="9"/>
            <color indexed="81"/>
            <rFont val="Tahoma"/>
            <family val="2"/>
          </rPr>
          <t xml:space="preserve">
Basado en el Plan de Adquisiciones segunda donación para REDD+</t>
        </r>
      </text>
    </comment>
    <comment ref="C18"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F18" authorId="0" shapeId="0">
      <text>
        <r>
          <rPr>
            <b/>
            <sz val="9"/>
            <color indexed="81"/>
            <rFont val="Tahoma"/>
            <family val="2"/>
          </rPr>
          <t>Edwin Vega-Araya:</t>
        </r>
        <r>
          <rPr>
            <sz val="9"/>
            <color indexed="81"/>
            <rFont val="Tahoma"/>
            <family val="2"/>
          </rPr>
          <t xml:space="preserve">
Faltaría agregar el costo de seguimiento que es la pesona que va metiendo la información y el soporte informático donde va a estar que esté sostenido y no se caiga (Servidor y capacidad del servidor). Consultar a María Isabel. Con el Plan de Adquisiciones se hace la inversión, pero la operación (seguimiento o monitoreo) falta de incluirlo.  Actualmente la institución le paga a ADDAX.</t>
        </r>
      </text>
    </comment>
    <comment ref="O18" authorId="0" shapeId="0">
      <text>
        <r>
          <rPr>
            <b/>
            <sz val="9"/>
            <color indexed="81"/>
            <rFont val="Tahoma"/>
            <family val="2"/>
          </rPr>
          <t>Edwin Vega-Araya:</t>
        </r>
        <r>
          <rPr>
            <sz val="9"/>
            <color indexed="81"/>
            <rFont val="Tahoma"/>
            <family val="2"/>
          </rPr>
          <t xml:space="preserve">
SINAC vigila la madera proveniente de planes de aprovechamiento, pero las plantaciones forestales se vigilan a través de los regentes forestales.  Se logra a través de los procedimientos que tiene establecidos la institución para garantizar la legalidad de la madera.
El SISTEMA DE CERTIFICACIÓN DE LA LEGALIDAD DE LA MADERA se está desarrollando a través del Sistema de Información para el Control del Aprovechamiento Forestal (SICAF) dentro del SIREFOR.  En el Plan de adquisiciones en el componente 4a ya se tiene la primera parte del sistema de trazabilidad y la segunda parte se cumpliría con éste.  Las dos líneas de María Isabel son de $90.000.</t>
        </r>
      </text>
    </comment>
    <comment ref="Q18" authorId="0" shapeId="0">
      <text>
        <r>
          <rPr>
            <b/>
            <sz val="9"/>
            <color indexed="81"/>
            <rFont val="Tahoma"/>
            <family val="2"/>
          </rPr>
          <t>Edwin Vega-Araya:</t>
        </r>
        <r>
          <rPr>
            <sz val="9"/>
            <color indexed="81"/>
            <rFont val="Tahoma"/>
            <family val="2"/>
          </rPr>
          <t xml:space="preserve">
Faltaría agregar el costo de seguimiento que es la pesona que va metiendo la información y el soporte informático donde va a estar que esté sostenido y no se caiga (Servidor y capacidad del servidor). Consultar a María Isabel. Con el Plan de Adquisiciones se hace la inversión, pero la operación (seguimiento o monitoreo) falta de incluirlo.  Actualmente la institución le paga a ADDAX.</t>
        </r>
      </text>
    </comment>
    <comment ref="AI18" authorId="0" shapeId="0">
      <text>
        <r>
          <rPr>
            <b/>
            <sz val="9"/>
            <color indexed="81"/>
            <rFont val="Tahoma"/>
            <family val="2"/>
          </rPr>
          <t>Edwin Vega-Araya:</t>
        </r>
        <r>
          <rPr>
            <sz val="9"/>
            <color indexed="81"/>
            <rFont val="Tahoma"/>
            <family val="2"/>
          </rPr>
          <t xml:space="preserve">
La meta es que esta relación se vaya reduciendo en el tiempo.  Lo que hay que mejorar es la parte de la vigilancia en la industria pues la parte de los permisos si es más confiable.  
Los m3 de madera en permisos se publican anualmente en el informe SEMEC de SINAC, en los permisos de aprovechamiento maderable.
Los m3 de madera en industria del cuadro de volumen reportado en centros de aserrío.</t>
        </r>
      </text>
    </comment>
    <comment ref="BG18" authorId="0" shapeId="0">
      <text>
        <r>
          <rPr>
            <b/>
            <sz val="9"/>
            <color indexed="81"/>
            <rFont val="Tahoma"/>
            <family val="2"/>
          </rPr>
          <t>Edwin Vega-Araya:</t>
        </r>
        <r>
          <rPr>
            <sz val="9"/>
            <color indexed="81"/>
            <rFont val="Tahoma"/>
            <family val="2"/>
          </rPr>
          <t xml:space="preserve">
Supuestos:
un promedio de (1 profesional medio tiempo + 1 técnico tiempo completo + funcionarios de control a 1/2 tiempo) por oficina subregional y son 33 oficinas.
Salario del profesionas = 1.2
00.000
Salario del técnico = 800.000
Salario del funcionario del control=600.000
Gasto mensual 8 viáticos el técnico, 12 los de control, a 5.150 el viático.
Equipo: gasolina: 12x5000 + equipo 10.000/mes.</t>
        </r>
      </text>
    </comment>
    <comment ref="BV18" authorId="0" shapeId="0">
      <text>
        <r>
          <rPr>
            <b/>
            <sz val="9"/>
            <color indexed="81"/>
            <rFont val="Tahoma"/>
            <family val="2"/>
          </rPr>
          <t>Edwin Vega-Araya:</t>
        </r>
        <r>
          <rPr>
            <sz val="9"/>
            <color indexed="81"/>
            <rFont val="Tahoma"/>
            <family val="2"/>
          </rPr>
          <t xml:space="preserve">
Supuestos:
un promedio de (1 profesional medio tiempo + 1 técnico tiempo completo Y OTRO A MEDIO TIEMPO + 2 funcionarios de control a TIEMPO COMPLETO ) por oficina subregional y son 33 oficinas.
Salario del profesionas = 1.200.000
Salario del técnico = 800.000
Salario del funcionario del control=600.000
Gasto mensual 12 viáticos el técnico, 24 los de control, a 5.150 el viático.
Equipo: gasolina: 24x5000 + equipo 15.000/mes.</t>
        </r>
      </text>
    </comment>
    <comment ref="C20"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O20" authorId="0" shapeId="0">
      <text>
        <r>
          <rPr>
            <b/>
            <sz val="9"/>
            <color indexed="81"/>
            <rFont val="Tahoma"/>
            <family val="2"/>
          </rPr>
          <t>Edwin Vega-Araya:</t>
        </r>
        <r>
          <rPr>
            <sz val="9"/>
            <color indexed="81"/>
            <rFont val="Tahoma"/>
            <family val="2"/>
          </rPr>
          <t xml:space="preserve">
Por ahora SINAC NO está desarrollando ninguna certificación de productos libres de deforestación.  Habría primero que hacer los estudios y eso es lo que se valoraría.  Lo que REDD+ puede hacer es estudiar algunos mercados para diseñar las certificaciones tal que se tenga información para luego decidir si se implementa alguno o no.
Implementar un sistema de certificación para cultivos (no madera) parecido al RSPO de la Palma Aceitera implica:
1) Un estudio específico para diseñar el Certificado para los distintos cultivos que estudie el mercado específico (productores, compradores, características) y establezca quién es responsable en las distintas fases.  En Palma el responsable es el industrial comprador que luego la vende procesada a compradores internacionales que exigen el certificado.
2) Un estudio histórico de uso del suelo de las fincas postulantes para determinar si el producto es libre de deforestación o no.  En Palma el estudio se hace desde 2005 cada 3 años para tener la serie para la finca.
3) Otorgamiento de las certificaciones y creación de incentivos reales para aspirarlas:  En Palma, la RSPO tiene 8 principios un uno de ellos es relacionado con el cambio de uso del suelo y hace referencia a lo mencionado arriba sobre no permitir la compra de áreas que cambiaron bosque luego de 2005 o en su defecto estar justificado, compensado o reconvertir de nuevo a bosque esas áreas críticas.
4) Una forma de financiamiento.  Si el incentivo será un sobreprecio, y si la comunidad internacional o REDD+ financia ese sobreprecio y la adopción del certificado, y los costos relacionados con los estudios de seguimiento al uso del suelo por finca, entonces el sistema se puede adoptar domésticamente sin que signifique un encarecimiento de los productos para el consumidor nacional.</t>
        </r>
      </text>
    </comment>
    <comment ref="BV20" authorId="0" shapeId="0">
      <text>
        <r>
          <rPr>
            <b/>
            <sz val="9"/>
            <color indexed="81"/>
            <rFont val="Tahoma"/>
            <family val="2"/>
          </rPr>
          <t>Edwin Vega-Araya:</t>
        </r>
        <r>
          <rPr>
            <sz val="9"/>
            <color indexed="81"/>
            <rFont val="Tahoma"/>
            <family val="2"/>
          </rPr>
          <t xml:space="preserve">
El costo de cada estudio se estima equivalente a una consultoría de U$24,000</t>
        </r>
      </text>
    </comment>
    <comment ref="C22" authorId="0" shapeId="0">
      <text>
        <r>
          <rPr>
            <b/>
            <sz val="9"/>
            <color indexed="81"/>
            <rFont val="Tahoma"/>
            <family val="2"/>
          </rPr>
          <t>Edwin Vega-Araya:</t>
        </r>
        <r>
          <rPr>
            <sz val="9"/>
            <color indexed="81"/>
            <rFont val="Tahoma"/>
            <family val="2"/>
          </rPr>
          <t xml:space="preserve">
Promovido por PNUD</t>
        </r>
      </text>
    </comment>
    <comment ref="O22" authorId="0" shapeId="0">
      <text>
        <r>
          <rPr>
            <b/>
            <sz val="9"/>
            <color indexed="81"/>
            <rFont val="Tahoma"/>
            <family val="2"/>
          </rPr>
          <t>Edwin Vega-Araya:</t>
        </r>
        <r>
          <rPr>
            <sz val="9"/>
            <color indexed="81"/>
            <rFont val="Tahoma"/>
            <family val="2"/>
          </rPr>
          <t xml:space="preserve">
Promovido por PNUD</t>
        </r>
      </text>
    </comment>
    <comment ref="AI22" authorId="0" shapeId="0">
      <text>
        <r>
          <rPr>
            <b/>
            <sz val="9"/>
            <color indexed="81"/>
            <rFont val="Tahoma"/>
            <family val="2"/>
          </rPr>
          <t>Edwin Vega-Araya:</t>
        </r>
        <r>
          <rPr>
            <sz val="9"/>
            <color indexed="81"/>
            <rFont val="Tahoma"/>
            <family val="2"/>
          </rPr>
          <t xml:space="preserve">
Ya la de Piña está.  Faltarían los otros 2 cultivos y están contemplados en el Plan de Adquisisiones</t>
        </r>
      </text>
    </comment>
    <comment ref="C24"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O24" authorId="0" shapeId="0">
      <text>
        <r>
          <rPr>
            <b/>
            <sz val="9"/>
            <color indexed="81"/>
            <rFont val="Tahoma"/>
            <family val="2"/>
          </rPr>
          <t>Edwin Vega-Araya:</t>
        </r>
        <r>
          <rPr>
            <sz val="9"/>
            <color indexed="81"/>
            <rFont val="Tahoma"/>
            <family val="2"/>
          </rPr>
          <t xml:space="preserve">
En PAA de EV, puede ser algo ampliado de lo que se propone en Estrategia para la Ganadería Baja en Carbono.  Ya la función de la  Comisión Agroambiental está cubierta por los nuevos órganos que se crean, la Comisión Nacional Ganadera (y las comisiones regionales) y la Mesa técnica.</t>
        </r>
      </text>
    </comment>
    <comment ref="AK24" authorId="0" shapeId="0">
      <text>
        <r>
          <rPr>
            <b/>
            <sz val="9"/>
            <color indexed="81"/>
            <rFont val="Tahoma"/>
            <family val="2"/>
          </rPr>
          <t>Edwin Vega-Araya:</t>
        </r>
        <r>
          <rPr>
            <sz val="9"/>
            <color indexed="81"/>
            <rFont val="Tahoma"/>
            <family val="2"/>
          </rPr>
          <t xml:space="preserve">
El crecimiento esperado en la situación actual es de incorporar 10 fincas adicionales cada año.</t>
        </r>
      </text>
    </comment>
    <comment ref="AS24" authorId="0" shapeId="0">
      <text>
        <r>
          <rPr>
            <b/>
            <sz val="9"/>
            <color indexed="81"/>
            <rFont val="Tahoma"/>
            <family val="2"/>
          </rPr>
          <t>Edwin Vega-Araya:</t>
        </r>
        <r>
          <rPr>
            <sz val="9"/>
            <color indexed="81"/>
            <rFont val="Tahoma"/>
            <family val="2"/>
          </rPr>
          <t xml:space="preserve">
Con REDD+ se podría llegar a 50 de incremento anual de fincas incorporadas al programa.  El primer año se supone casi la mitad de eso.
Según email del 28/11/2016 de Mauricio Chacón.</t>
        </r>
      </text>
    </comment>
    <comment ref="BH24" authorId="0" shapeId="0">
      <text>
        <r>
          <rPr>
            <b/>
            <sz val="9"/>
            <color indexed="81"/>
            <rFont val="Tahoma"/>
            <family val="2"/>
          </rPr>
          <t>Edwin Vega-Araya:</t>
        </r>
        <r>
          <rPr>
            <sz val="9"/>
            <color indexed="81"/>
            <rFont val="Tahoma"/>
            <family val="2"/>
          </rPr>
          <t xml:space="preserve">
Se estima el costo de incorporar una finca adicional al PPN como el tiempo horas técnico y profesional dedicados a visitas y asistencia técnica al finquero para el convencimiento y desarrollo de actividades. Un profesional y un técnico que hagan 6 visitas de campo de 1 hora cada visita.  Una visita cuesta 7,000 (hora del profesional) + 5,000 (hora del técnico) + 5,000 (combustible) + 4,000 (media de viáticos) = 21,000.  Por lo tanto 6 visitas cuestan = 126,000 colones.</t>
        </r>
      </text>
    </comment>
    <comment ref="BG27" authorId="0" shapeId="0">
      <text>
        <r>
          <rPr>
            <b/>
            <sz val="9"/>
            <color indexed="81"/>
            <rFont val="Tahoma"/>
            <family val="2"/>
          </rPr>
          <t>Edwin Vega-Araya:</t>
        </r>
        <r>
          <rPr>
            <sz val="9"/>
            <color indexed="81"/>
            <rFont val="Tahoma"/>
            <family val="2"/>
          </rPr>
          <t xml:space="preserve">
Es un costo de campaña para las condiciones básicas.</t>
        </r>
      </text>
    </comment>
    <comment ref="C28"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O28" authorId="0" shapeId="0">
      <text>
        <r>
          <rPr>
            <b/>
            <sz val="9"/>
            <color indexed="81"/>
            <rFont val="Tahoma"/>
            <family val="2"/>
          </rPr>
          <t>Edwin Vega-Araya:</t>
        </r>
        <r>
          <rPr>
            <sz val="9"/>
            <color indexed="81"/>
            <rFont val="Tahoma"/>
            <family val="2"/>
          </rPr>
          <t xml:space="preserve">
Las brigadas deben estar capacitadas, equipadas y entrenadas.  Eso significa el seguimiento (fortalecimiento)</t>
        </r>
      </text>
    </comment>
    <comment ref="BG28" authorId="0" shapeId="0">
      <text>
        <r>
          <rPr>
            <b/>
            <sz val="9"/>
            <color indexed="81"/>
            <rFont val="Tahoma"/>
            <family val="2"/>
          </rPr>
          <t>Edwin Vega-Araya:</t>
        </r>
        <r>
          <rPr>
            <sz val="9"/>
            <color indexed="81"/>
            <rFont val="Tahoma"/>
            <family val="2"/>
          </rPr>
          <t xml:space="preserve">
Capacitación +- 150000 por persona
Seguimiento (una visita mensual) +- 15150 * 12 = 181.800
Equipamiento (a cada persona) 180.000 en el primer año del equipo completo + en los siguientes años hay que dar adicionales 68.000 cada tres años. 
Tenemos actualmente 300 bomberos forestales equipados bien.  Se quiere llegar a 1000 con el seguimiento.  Sin REDD solo se alcanzaría 700.</t>
        </r>
      </text>
    </comment>
    <comment ref="BH28" authorId="0" shapeId="0">
      <text>
        <r>
          <rPr>
            <b/>
            <sz val="9"/>
            <color indexed="81"/>
            <rFont val="Tahoma"/>
            <family val="2"/>
          </rPr>
          <t>Edwin Vega-Araya:</t>
        </r>
        <r>
          <rPr>
            <sz val="9"/>
            <color indexed="81"/>
            <rFont val="Tahoma"/>
            <family val="2"/>
          </rPr>
          <t xml:space="preserve">
Los 15.000.000 de capacitación es por capacitar 200 personas por año a un costo de 75.000 por persona.</t>
        </r>
      </text>
    </comment>
    <comment ref="BV28" authorId="0" shapeId="0">
      <text>
        <r>
          <rPr>
            <b/>
            <sz val="9"/>
            <color indexed="81"/>
            <rFont val="Tahoma"/>
            <family val="2"/>
          </rPr>
          <t>Edwin Vega-Araya:</t>
        </r>
        <r>
          <rPr>
            <sz val="9"/>
            <color indexed="81"/>
            <rFont val="Tahoma"/>
            <family val="2"/>
          </rPr>
          <t xml:space="preserve">
En este caso el seguimiento incluye además la capacitación de 500 personas por año a un costo de 75.000 por persona = 37.500.000 de capacitación.
</t>
        </r>
      </text>
    </comment>
    <comment ref="AH29" authorId="2" shapeId="0">
      <text>
        <r>
          <rPr>
            <b/>
            <sz val="9"/>
            <color indexed="81"/>
            <rFont val="Tahoma"/>
            <family val="2"/>
          </rPr>
          <t>Carlos Varela Jimenez:</t>
        </r>
        <r>
          <rPr>
            <sz val="9"/>
            <color indexed="81"/>
            <rFont val="Tahoma"/>
            <family val="2"/>
          </rPr>
          <t xml:space="preserve">
Los COVIRENA e inspectores ambientales ad honorem tendrán participación dentro y fuera de ASP, por tanto el Área de Infuencia será todo el territorio</t>
        </r>
      </text>
    </comment>
    <comment ref="C31"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O31" authorId="0" shapeId="0">
      <text>
        <r>
          <rPr>
            <b/>
            <sz val="9"/>
            <color indexed="81"/>
            <rFont val="Tahoma"/>
            <family val="2"/>
          </rPr>
          <t>Edwin Vega-Araya:</t>
        </r>
        <r>
          <rPr>
            <sz val="9"/>
            <color indexed="81"/>
            <rFont val="Tahoma"/>
            <family val="2"/>
          </rPr>
          <t xml:space="preserve">
Existe una Estrategia de Manejo del Fuego que se debe estar actualizando conforme nuevas tendencias y situación del país.  La estrategia se actualizará en el 2021 y de ahí en adelante cada 5 o 10 años.</t>
        </r>
      </text>
    </comment>
    <comment ref="C34"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O34" authorId="0" shapeId="0">
      <text>
        <r>
          <rPr>
            <b/>
            <sz val="9"/>
            <color indexed="81"/>
            <rFont val="Tahoma"/>
            <family val="2"/>
          </rPr>
          <t>Edwin Vega-Araya:</t>
        </r>
        <r>
          <rPr>
            <sz val="9"/>
            <color indexed="81"/>
            <rFont val="Tahoma"/>
            <family val="2"/>
          </rPr>
          <t xml:space="preserve">
trámite de las autorizaciónes, ejecución y supervición es lo que implica la fiscalización en general y deriva en una adecuada trazabilidad del producto. (posibles capacitación o sesiones conjuntas de trabajo para definición de mecanismos y herramientas para la gestión de la fiscalia CIAgro.</t>
        </r>
      </text>
    </comment>
    <comment ref="BT34" authorId="2" shapeId="0">
      <text>
        <r>
          <rPr>
            <b/>
            <sz val="9"/>
            <color indexed="81"/>
            <rFont val="Tahoma"/>
            <family val="2"/>
          </rPr>
          <t>Carlos Varela Jimenez:</t>
        </r>
        <r>
          <rPr>
            <sz val="9"/>
            <color indexed="81"/>
            <rFont val="Tahoma"/>
            <family val="2"/>
          </rPr>
          <t xml:space="preserve">
Se financia con pagos de la regencia más otros recursos del CIAgro</t>
        </r>
      </text>
    </comment>
    <comment ref="A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C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O35" authorId="0" shapeId="0">
      <text>
        <r>
          <rPr>
            <b/>
            <sz val="9"/>
            <color indexed="81"/>
            <rFont val="Tahoma"/>
            <family val="2"/>
          </rPr>
          <t>Edwin Vega-Araya:</t>
        </r>
        <r>
          <rPr>
            <sz val="9"/>
            <color indexed="81"/>
            <rFont val="Tahoma"/>
            <family val="2"/>
          </rPr>
          <t xml:space="preserve">
OJO, En la cajita de mapa mental (nuevas PAMs) se excluyó de la EN la compra de tierras, por ser muy caro en relación a otras medidas y al aporte en RE.</t>
        </r>
      </text>
    </comment>
    <comment ref="AS35" authorId="0" shapeId="0">
      <text>
        <r>
          <rPr>
            <b/>
            <sz val="9"/>
            <color indexed="81"/>
            <rFont val="Tahoma"/>
            <family val="2"/>
          </rPr>
          <t>Edwin Vega-Araya:</t>
        </r>
        <r>
          <rPr>
            <sz val="9"/>
            <color indexed="81"/>
            <rFont val="Tahoma"/>
            <family val="2"/>
          </rPr>
          <t xml:space="preserve">
El sr. Castillo piensa que REDD+ podría incrementar el presupuesto en 1% al menos por año para apoyar esta actividad.  La misma está originalmente contenida en la Estrategia Nacional pero por razones económicas no se le destinarán recursos.</t>
        </r>
      </text>
    </comment>
    <comment ref="A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C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O36" authorId="0" shapeId="0">
      <text>
        <r>
          <rPr>
            <b/>
            <sz val="9"/>
            <color indexed="81"/>
            <rFont val="Tahoma"/>
            <family val="2"/>
          </rPr>
          <t>Edwin Vega-Araya:</t>
        </r>
        <r>
          <rPr>
            <sz val="9"/>
            <color indexed="81"/>
            <rFont val="Tahoma"/>
            <family val="2"/>
          </rPr>
          <t xml:space="preserve">
no se incluyó la acción de consolidación de ASP a través de compras</t>
        </r>
      </text>
    </comment>
    <comment ref="C40" authorId="0" shapeId="0">
      <text>
        <r>
          <rPr>
            <b/>
            <sz val="9"/>
            <color indexed="81"/>
            <rFont val="Tahoma"/>
            <family val="2"/>
          </rPr>
          <t>Edwin Vega-Araya:</t>
        </r>
        <r>
          <rPr>
            <sz val="9"/>
            <color indexed="81"/>
            <rFont val="Tahoma"/>
            <family val="2"/>
          </rPr>
          <t xml:space="preserve">
En PAAs de EV</t>
        </r>
      </text>
    </comment>
    <comment ref="O40" authorId="0" shapeId="0">
      <text>
        <r>
          <rPr>
            <b/>
            <sz val="9"/>
            <color indexed="81"/>
            <rFont val="Tahoma"/>
            <family val="2"/>
          </rPr>
          <t>Edwin Vega-Araya:</t>
        </r>
        <r>
          <rPr>
            <sz val="9"/>
            <color indexed="81"/>
            <rFont val="Tahoma"/>
            <family val="2"/>
          </rPr>
          <t xml:space="preserve">
En PAAs de EV</t>
        </r>
      </text>
    </comment>
    <comment ref="BH43" authorId="3" shapeId="0">
      <text>
        <r>
          <rPr>
            <b/>
            <sz val="9"/>
            <color indexed="81"/>
            <rFont val="Tahoma"/>
            <family val="2"/>
          </rPr>
          <t>José Joaquin Calvo Domingo:</t>
        </r>
        <r>
          <rPr>
            <sz val="9"/>
            <color indexed="81"/>
            <rFont val="Tahoma"/>
            <family val="2"/>
          </rPr>
          <t xml:space="preserve">
Este año se realizaron 6 planaes de manejo con financiamiento externo, mas  o menos se pueden hacer un promedio de 3 al año tambien con fondos externos, el costo de cada actualoizcion anda cerca de los 15,000 dolares.</t>
        </r>
      </text>
    </comment>
    <comment ref="BH44"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BT44" authorId="0" shapeId="0">
      <text>
        <r>
          <rPr>
            <b/>
            <sz val="9"/>
            <color indexed="81"/>
            <rFont val="Tahoma"/>
            <family val="2"/>
          </rPr>
          <t>Edwin Vega-Araya:</t>
        </r>
        <r>
          <rPr>
            <sz val="9"/>
            <color indexed="81"/>
            <rFont val="Tahoma"/>
            <family val="2"/>
          </rPr>
          <t xml:space="preserve">
La academia y otros se autofinancian, pero no tienen capacidad de nuevas parcelas.</t>
        </r>
      </text>
    </comment>
    <comment ref="BV44" authorId="0" shapeId="0">
      <text>
        <r>
          <rPr>
            <b/>
            <sz val="9"/>
            <color indexed="81"/>
            <rFont val="Tahoma"/>
            <family val="2"/>
          </rPr>
          <t>Edwin Vega-Araya:</t>
        </r>
        <r>
          <rPr>
            <sz val="9"/>
            <color indexed="81"/>
            <rFont val="Tahoma"/>
            <family val="2"/>
          </rPr>
          <t xml:space="preserve">
La ayuda de REDD+ sería financiando el establecimiento de parcelas permanentes de monitoreo (PPM) para los umbrales de área basal por tipo de bosque.  Esta mediciones tradicionalmente lo lleva acabo la academia y ciertas empresas privadas.  Con esto se puede acelerar la publicación del decreto.
El costo por parcela es de $1200 y se ocuparían unas 20 parcelas adicionales.  GUSTAVO HERNÁNDEZ INICEFOR COSTO DEL ESTABLECIMIENTO POR PARCELA Y LA CANTIDAD DE PARCELAS (PROYECTO RED PPM).  Con las que hay se ocuparían unas 5 más en la Zona Atlántica; unas 6 en ACOSA; unas 4 por Talamanca; y unas 5 en la Zona Chorotega.  TOTAL 20 parcelas adicionales.  El costo de las mediciones una vez establecidas es de $800 anuales</t>
        </r>
      </text>
    </comment>
    <comment ref="BW44" authorId="0" shapeId="0">
      <text>
        <r>
          <rPr>
            <b/>
            <sz val="9"/>
            <color indexed="81"/>
            <rFont val="Tahoma"/>
            <family val="2"/>
          </rPr>
          <t>Edwin Vega-Araya:</t>
        </r>
        <r>
          <rPr>
            <sz val="9"/>
            <color indexed="81"/>
            <rFont val="Tahoma"/>
            <family val="2"/>
          </rPr>
          <t xml:space="preserve">
5 parcelas en 2017 y 15 en 2018, luego las mediciones y ya para 2020 decreto</t>
        </r>
      </text>
    </comment>
    <comment ref="BX44" authorId="0" shapeId="0">
      <text>
        <r>
          <rPr>
            <b/>
            <sz val="9"/>
            <color indexed="81"/>
            <rFont val="Tahoma"/>
            <family val="2"/>
          </rPr>
          <t>Edwin Vega-Araya:</t>
        </r>
        <r>
          <rPr>
            <sz val="9"/>
            <color indexed="81"/>
            <rFont val="Tahoma"/>
            <family val="2"/>
          </rPr>
          <t xml:space="preserve">
El estudio de los datos y propuesta y validación de nuevos criterios se estima en equivalente a consultoría de $20,000</t>
        </r>
      </text>
    </comment>
    <comment ref="C45"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O45" authorId="0" shapeId="0">
      <text>
        <r>
          <rPr>
            <b/>
            <sz val="9"/>
            <color indexed="81"/>
            <rFont val="Tahoma"/>
            <family val="2"/>
          </rPr>
          <t>Edwin Vega-Araya:</t>
        </r>
        <r>
          <rPr>
            <sz val="9"/>
            <color indexed="81"/>
            <rFont val="Tahoma"/>
            <family val="2"/>
          </rPr>
          <t xml:space="preserve">
Está saliendo el Decreto de Madera Caída en Bosque, tuvo su éxito en la Reserva Forestal de Osa (sin propietarios legales) pero no va a ser rentable para el productor normal que más bien buscarían un aprovechamiento y no solo la madera caida.</t>
        </r>
      </text>
    </comment>
    <comment ref="AS45" authorId="0" shapeId="0">
      <text>
        <r>
          <rPr>
            <b/>
            <sz val="9"/>
            <color indexed="81"/>
            <rFont val="Tahoma"/>
            <family val="2"/>
          </rPr>
          <t>Edwin Vega-Araya:</t>
        </r>
        <r>
          <rPr>
            <sz val="9"/>
            <color indexed="81"/>
            <rFont val="Tahoma"/>
            <family val="2"/>
          </rPr>
          <t xml:space="preserve">
Se espera que con divulgación y publicidad del decreto se incrementen las solicitudes</t>
        </r>
      </text>
    </comment>
    <comment ref="BH45"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t>
        </r>
      </text>
    </comment>
    <comment ref="BV45" authorId="0" shapeId="0">
      <text>
        <r>
          <rPr>
            <b/>
            <sz val="9"/>
            <color indexed="81"/>
            <rFont val="Tahoma"/>
            <family val="2"/>
          </rPr>
          <t>Edwin Vega-Araya:</t>
        </r>
        <r>
          <rPr>
            <sz val="9"/>
            <color indexed="81"/>
            <rFont val="Tahoma"/>
            <family val="2"/>
          </rPr>
          <t xml:space="preserve">
Se ocupa 40 horas profesional por permiso tramitado.  El trámite incluye la recepción y supervisión del permiso.
Víaticos y combustible 20.000 por permiso.
Valor del equipamiento (computadora, clinómetro, GPS, etc.) 500.000 / 52 semanas.
Además incluye $10,000 de publicidad del decreto durante 2 años solamente.</t>
        </r>
      </text>
    </comment>
    <comment ref="C47"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O47" authorId="0" shapeId="0">
      <text>
        <r>
          <rPr>
            <b/>
            <sz val="9"/>
            <color indexed="81"/>
            <rFont val="Tahoma"/>
            <family val="2"/>
          </rPr>
          <t>Edwin Vega-Araya:</t>
        </r>
        <r>
          <rPr>
            <sz val="9"/>
            <color indexed="81"/>
            <rFont val="Tahoma"/>
            <family val="2"/>
          </rPr>
          <t xml:space="preserve">
Salió en octubre 2016 el decreto de Estándares de Bosque Secundario.  Va amarrado al tema de extensión que ya está tratado en otras filas.  Rehacer con Sonia.
Ya con la resolución de la contraloría se dictan 4 políticas del PSA que derivan a los criterios se sacaron por decreto Ejecutivo 39660-MINAE que ya no se tiene que renovar cada año, sino que cada 5 años, en este caso 2016 a 2021, por lo que el tema está realizado, así como la metodología para medir el impacto del PSA que se hizo con SINPE.  En 2015 manejaron la metodología de seguimiento al PSA, al final del periodo, en 2021 se deben revisar de nuevo basados en la evaluación que se haga con los indicadores de esa metodología, como 54.  Los indicadores se depuraron para que quedaran menos (tesis de Elena Herrera) quedaron 27 con los que se diseñaron las guías para aplicarlos ahora y dentro de 5 años nuevamente.  cómo meter los indicadores al SINIA y los escenarios de costos de las posibles modificaciones que cuesta unos $8.000 que lo financiará MACOBIO.
REDD+ puede financiar el estudio del estudio de los indicadores dentro de 5 años comparados con los de ahora y definir posibles cambios a los criterios.  Se pagó una consultoría de 2 meses para meter estos indicadores en el SINIA, pero alguien tiene que subirlos, y REDD+ con lo del monitoreo de CENIGA lo está contemplando.  REDD+ podría ayudar en analizar el ajuste del sistema para los indicadodres del PSA, de más menos $10.000.</t>
        </r>
      </text>
    </comment>
    <comment ref="AW47" authorId="0" shapeId="0">
      <text>
        <r>
          <rPr>
            <b/>
            <sz val="9"/>
            <color indexed="81"/>
            <rFont val="Tahoma"/>
            <family val="2"/>
          </rPr>
          <t>Edwin Vega-Araya:</t>
        </r>
        <r>
          <rPr>
            <sz val="9"/>
            <color indexed="81"/>
            <rFont val="Tahoma"/>
            <family val="2"/>
          </rPr>
          <t xml:space="preserve">
Este decreto tendría una mejora cualitativa respecto a la situación "sin".</t>
        </r>
      </text>
    </comment>
    <comment ref="BH47" authorId="0" shapeId="0">
      <text>
        <r>
          <rPr>
            <b/>
            <sz val="9"/>
            <color indexed="81"/>
            <rFont val="Tahoma"/>
            <family val="2"/>
          </rPr>
          <t>Edwin Vega-Araya:</t>
        </r>
        <r>
          <rPr>
            <sz val="9"/>
            <color indexed="81"/>
            <rFont val="Tahoma"/>
            <family val="2"/>
          </rPr>
          <t xml:space="preserve">
Financiación de MACOBIO para incorporar los indicadores de Evaluación del PPSA al SINIA</t>
        </r>
      </text>
    </comment>
    <comment ref="BY47" authorId="0" shapeId="0">
      <text>
        <r>
          <rPr>
            <b/>
            <sz val="9"/>
            <color indexed="81"/>
            <rFont val="Tahoma"/>
            <family val="2"/>
          </rPr>
          <t>Edwin Vega-Araya:</t>
        </r>
        <r>
          <rPr>
            <sz val="9"/>
            <color indexed="81"/>
            <rFont val="Tahoma"/>
            <family val="2"/>
          </rPr>
          <t xml:space="preserve">
REDD+ puede financiar el estudio del estudio de los indicadores dentro de 5 años comparados con los de ahora y definir posibles cambios a los criterios.  REDD+ podría ayudar en analizar el ajuste del sistema para los indicadodres del PSA, de más menos $10.000.</t>
        </r>
      </text>
    </comment>
    <comment ref="AI49" authorId="4" shapeId="0">
      <text>
        <r>
          <rPr>
            <b/>
            <sz val="9"/>
            <color indexed="81"/>
            <rFont val="Tahoma"/>
            <family val="2"/>
          </rPr>
          <t>Magally Castro Alvarez:</t>
        </r>
        <r>
          <rPr>
            <sz val="9"/>
            <color indexed="81"/>
            <rFont val="Tahoma"/>
            <family val="2"/>
          </rPr>
          <t xml:space="preserve">
Existe un manual de capacitación de Organos Colegiados del SINAC, el cual se puede actualizar y capacitar a los consejos. 
Además se requiere de instrumentos para su fortalecimiento y seguimiento, así como su empoderamiento y l posicionamiento del tema forestal y otros para la toma de decisiciones que ellos realizan.</t>
        </r>
      </text>
    </comment>
    <comment ref="BG49" authorId="4" shapeId="0">
      <text>
        <r>
          <rPr>
            <b/>
            <sz val="9"/>
            <color indexed="81"/>
            <rFont val="Tahoma"/>
            <family val="2"/>
          </rPr>
          <t>Magally Castro Alvarez:</t>
        </r>
        <r>
          <rPr>
            <sz val="9"/>
            <color indexed="81"/>
            <rFont val="Tahoma"/>
            <family val="2"/>
          </rPr>
          <t xml:space="preserve">
Este es un calculo de los que se hizo en el 2015 que fue el año que se realizo el manual de capacitación y se aplico a algunos OC.</t>
        </r>
      </text>
    </comment>
    <comment ref="BH49" authorId="4" shapeId="0">
      <text>
        <r>
          <rPr>
            <b/>
            <sz val="9"/>
            <color indexed="81"/>
            <rFont val="Tahoma"/>
            <family val="2"/>
          </rPr>
          <t>Magally Castro Alvarez:</t>
        </r>
        <r>
          <rPr>
            <sz val="9"/>
            <color indexed="81"/>
            <rFont val="Tahoma"/>
            <family val="2"/>
          </rPr>
          <t xml:space="preserve">
Esto inlcuye fondos SINAC y alguna contrapartida del proyecto MAPCOBIO  y de CB para fortalecer el tema.</t>
        </r>
      </text>
    </comment>
    <comment ref="BI49" authorId="4" shapeId="0">
      <text>
        <r>
          <rPr>
            <b/>
            <sz val="9"/>
            <color indexed="81"/>
            <rFont val="Tahoma"/>
            <family val="2"/>
          </rPr>
          <t>Magally Castro Alvarez:</t>
        </r>
        <r>
          <rPr>
            <sz val="9"/>
            <color indexed="81"/>
            <rFont val="Tahoma"/>
            <family val="2"/>
          </rPr>
          <t xml:space="preserve">
Fondos SINAC para acciones exporadicas de los consejos locales. Alimentacion para reunions mensuales, entre otros.  Para su funcionamiento pero no para su fortalecimiento.</t>
        </r>
      </text>
    </comment>
    <comment ref="BV49" authorId="4" shapeId="0">
      <text>
        <r>
          <rPr>
            <b/>
            <sz val="9"/>
            <color indexed="81"/>
            <rFont val="Tahoma"/>
            <family val="2"/>
          </rPr>
          <t>Magally Castro Alvarez:</t>
        </r>
        <r>
          <rPr>
            <sz val="9"/>
            <color indexed="81"/>
            <rFont val="Tahoma"/>
            <family val="2"/>
          </rPr>
          <t xml:space="preserve">
Alvarez:
Incluye:
Actualizar el manual 
Capacitar a un % de los OC </t>
        </r>
      </text>
    </comment>
    <comment ref="BW49" authorId="4" shapeId="0">
      <text>
        <r>
          <rPr>
            <b/>
            <sz val="9"/>
            <color indexed="81"/>
            <rFont val="Tahoma"/>
            <family val="2"/>
          </rPr>
          <t>Magally Castro Alvarez:</t>
        </r>
        <r>
          <rPr>
            <sz val="9"/>
            <color indexed="81"/>
            <rFont val="Tahoma"/>
            <family val="2"/>
          </rPr>
          <t xml:space="preserve">
Incluye:
Capacitar a un % de los OC 
1 Encuentro de CORAC</t>
        </r>
      </text>
    </comment>
    <comment ref="BX49" authorId="4"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BY49" authorId="4" shapeId="0">
      <text>
        <r>
          <rPr>
            <b/>
            <sz val="9"/>
            <color indexed="81"/>
            <rFont val="Tahoma"/>
            <family val="2"/>
          </rPr>
          <t>Magally Castro Alvarez:</t>
        </r>
        <r>
          <rPr>
            <sz val="9"/>
            <color indexed="81"/>
            <rFont val="Tahoma"/>
            <family val="2"/>
          </rPr>
          <t xml:space="preserve">
Incluye:
Capacitar a un % de los OC 
1 Encuentro de CORAC
1 Encuetro de COLAC 
 1 Encerrona de trabajo del CONAC 
Publicar resultados 
1 intercambio de experiencias </t>
        </r>
      </text>
    </comment>
    <comment ref="C51"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O51" authorId="0" shapeId="0">
      <text>
        <r>
          <rPr>
            <b/>
            <sz val="9"/>
            <color indexed="81"/>
            <rFont val="Tahoma"/>
            <family val="2"/>
          </rPr>
          <t>Edwin Vega-Araya:</t>
        </r>
        <r>
          <rPr>
            <sz val="9"/>
            <color indexed="81"/>
            <rFont val="Tahoma"/>
            <family val="2"/>
          </rPr>
          <t xml:space="preserve">
HABLAR CON OSCAR ECOMERCADOS TENÍA FORTALECIMIENTO DE ORGANIZACIONES SE PUEDE EMULAR</t>
        </r>
      </text>
    </comment>
    <comment ref="BV51" authorId="0" shapeId="0">
      <text>
        <r>
          <rPr>
            <b/>
            <sz val="9"/>
            <color indexed="81"/>
            <rFont val="Tahoma"/>
            <family val="2"/>
          </rPr>
          <t>Edwin Vega-Araya:</t>
        </r>
        <r>
          <rPr>
            <sz val="9"/>
            <color indexed="81"/>
            <rFont val="Tahoma"/>
            <family val="2"/>
          </rPr>
          <t xml:space="preserve">
Costo por evento de capacitación 300,000 colones </t>
        </r>
      </text>
    </comment>
    <comment ref="BI53" authorId="0" shapeId="0">
      <text>
        <r>
          <rPr>
            <b/>
            <sz val="9"/>
            <color indexed="81"/>
            <rFont val="Tahoma"/>
            <family val="2"/>
          </rPr>
          <t>Edwin Vega-Araya:</t>
        </r>
        <r>
          <rPr>
            <sz val="9"/>
            <color indexed="81"/>
            <rFont val="Tahoma"/>
            <family val="2"/>
          </rPr>
          <t xml:space="preserve">
Se valoran acciones aisladas relacionadas y no articuladas en una estrategia.</t>
        </r>
      </text>
    </comment>
    <comment ref="BV53" authorId="4" shapeId="0">
      <text>
        <r>
          <rPr>
            <b/>
            <sz val="9"/>
            <color indexed="81"/>
            <rFont val="Tahoma"/>
            <family val="2"/>
          </rPr>
          <t>Magally Castro Alvarez:</t>
        </r>
        <r>
          <rPr>
            <sz val="9"/>
            <color indexed="81"/>
            <rFont val="Tahoma"/>
            <family val="2"/>
          </rPr>
          <t xml:space="preserve">
Incluye la contratación de una estategia de defina alternativas de como llegar a los actores privados en ASP desde los consejos locales de CB</t>
        </r>
      </text>
    </comment>
    <comment ref="BW53" authorId="4" shapeId="0">
      <text>
        <r>
          <rPr>
            <b/>
            <sz val="9"/>
            <color indexed="81"/>
            <rFont val="Tahoma"/>
            <family val="2"/>
          </rPr>
          <t>Magally Castro Alvarez:</t>
        </r>
        <r>
          <rPr>
            <sz val="9"/>
            <color indexed="81"/>
            <rFont val="Tahoma"/>
            <family val="2"/>
          </rPr>
          <t xml:space="preserve">
Inclye capacitacion a todos los CL para ejecutar la estrategia 
5 CB sensibilizan a los actores privado en sobre PSA y REDD (materiales, charlas, capacitación)</t>
        </r>
      </text>
    </comment>
    <comment ref="BX53" authorId="4" shapeId="0">
      <text>
        <r>
          <rPr>
            <b/>
            <sz val="9"/>
            <color indexed="81"/>
            <rFont val="Tahoma"/>
            <family val="2"/>
          </rPr>
          <t>Magally Castro Alvarez:</t>
        </r>
        <r>
          <rPr>
            <sz val="9"/>
            <color indexed="81"/>
            <rFont val="Tahoma"/>
            <family val="2"/>
          </rPr>
          <t xml:space="preserve">
Incluye trabajos varios para promover acuerdos, sensiblización, charlas, materiales, videos y otros por medio de los cuales los CL de los CB promueven el PSA y REDD</t>
        </r>
      </text>
    </comment>
    <comment ref="C58"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G58" authorId="0" shapeId="0">
      <text>
        <r>
          <rPr>
            <b/>
            <sz val="9"/>
            <color indexed="81"/>
            <rFont val="Tahoma"/>
            <family val="2"/>
          </rPr>
          <t>Edwin Vega-Araya:</t>
        </r>
        <r>
          <rPr>
            <sz val="9"/>
            <color indexed="81"/>
            <rFont val="Tahoma"/>
            <family val="2"/>
          </rPr>
          <t xml:space="preserve">
SONIA, DOCUMENTO DE MARLEN, QUE LA SOCIEDAD SEPA QUE HAY ORDENAMIENTO TERRRITORIAL.  Ella hizo un mapa de zonificación.</t>
        </r>
      </text>
    </comment>
    <comment ref="O58" authorId="0" shapeId="0">
      <text>
        <r>
          <rPr>
            <b/>
            <sz val="9"/>
            <color indexed="81"/>
            <rFont val="Tahoma"/>
            <family val="2"/>
          </rPr>
          <t>Edwin Vega-Araya:</t>
        </r>
        <r>
          <rPr>
            <sz val="9"/>
            <color indexed="81"/>
            <rFont val="Tahoma"/>
            <family val="2"/>
          </rPr>
          <t xml:space="preserve">
Dentro de la Estrategia de Seguimiento al PSA está la acción de fomento donde se les presenta el PPSA y que incluye tanto la protección como la reforestación.  Actualmente hay como 3500 ha por año de contrato modalidad reforestación, pero el interés del ministro es llegar a 7000 ha por año de reforestación. El INF cuantifica 74600 ha en Plantaciones Forestales. Se creó una comisión para fomentar el cultivo de árboles coordinada por Gilberth Canet.  Se hizo un plancito y se le presentó al ministro.  De este plancito se tomaron ideas para el plan de adquisiciones.  El ministro firmó una directriz n. DM-743-2016 el día de parques nacionales que buscaba promover la reforestación, la producción forestal, etc.. que implica una comisión SINAC-FONAFIFO, donde se habla de fomentar un cluster forestal en la Zona Norte.  El Lunes 5 diciembre lo presentaron al ministro.  En ese marco del cluster forestal podría incorporarse alguna acción de REDD+.  El ESTUDIO DE LA CADENA DE VALOR del mismo es que se puede ayudar en esto y en la propuesta para que se implemente, cómo se pasa la información a la gente y a otros interesados.  OJO DOCUMENTACIÓN DE SONIA.</t>
        </r>
      </text>
    </comment>
    <comment ref="Q58" authorId="0" shapeId="0">
      <text>
        <r>
          <rPr>
            <b/>
            <sz val="9"/>
            <color indexed="81"/>
            <rFont val="Tahoma"/>
            <family val="2"/>
          </rPr>
          <t>Edwin Vega-Araya:</t>
        </r>
        <r>
          <rPr>
            <sz val="9"/>
            <color indexed="81"/>
            <rFont val="Tahoma"/>
            <family val="2"/>
          </rPr>
          <t xml:space="preserve">
SONIA, DOCUMENTO DE MARLEN, QUE LA SOCIEDAD SEPA QUE HAY ORDENAMIENTO TERRRITORIAL.  Ella hizo un mapa de zonificación.</t>
        </r>
      </text>
    </comment>
    <comment ref="BH58"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BV58" authorId="0" shapeId="0">
      <text>
        <r>
          <rPr>
            <b/>
            <sz val="9"/>
            <color indexed="81"/>
            <rFont val="Tahoma"/>
            <family val="2"/>
          </rPr>
          <t>Edwin Vega-Araya:</t>
        </r>
        <r>
          <rPr>
            <sz val="9"/>
            <color indexed="81"/>
            <rFont val="Tahoma"/>
            <family val="2"/>
          </rPr>
          <t xml:space="preserve">
Monto por ha aproximado según lo destinado por ha a partir de los datos del Decreto n.39083 de julio 2015 de Pagos PSA para la modalidad de reforestación (promedio ponderado de ref. especies rápido crecimiento (2875 ha a total en 5 años 641,939 colones) y ref. especies crecimiento medio (2735 ha a total en 5 años d756,258 colones))</t>
        </r>
      </text>
    </comment>
    <comment ref="C61"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O61" authorId="0" shapeId="0">
      <text>
        <r>
          <rPr>
            <b/>
            <sz val="9"/>
            <color indexed="81"/>
            <rFont val="Tahoma"/>
            <family val="2"/>
          </rPr>
          <t>Edwin Vega-Araya:</t>
        </r>
        <r>
          <rPr>
            <sz val="9"/>
            <color indexed="81"/>
            <rFont val="Tahoma"/>
            <family val="2"/>
          </rPr>
          <t xml:space="preserve">
En el marco de la Convención de lucha contra la desertificiación, se definió que la unidad de planificación es la cuenca hidrográfica.  CR hizo un Programa de Acción Nacional (PAN) 2004, donde se priorizaron las cuencas degradadas.  La del Jesús María y la del Barranca son las más degradadas.  Una de las estrategias fue desarrollar experiencias piloto.  En 2011 se inición con GEF un proyecto y se está actualmente en la sexta fase, donde se traslada la experiencia del Jesús María al Barranca y llevará hasta 2019. Es por 2,6 millones. Hay 4 objetivos: 1) aumentar cobertura 2) manejo y conservación de suelos 3) protección RH (y mejorar infiltración) 4) mejorar calidad de vida de población de la cuenca.  Se ejectuta vía el programa de pequeñas donaciones (PPD de PNUD que cobran 30% de overhead), asignando los recursos directamente a grupos organizados, no pasa ni por SINAC ni por MH.  SINAC, usa la CADETI (Comisión Asesora sobre Degradación de Tierras) y tiene entre sus funciones ayudar en lo de la implementación derivada de lo de la Convención.  Se trabaja con las ADI, los Centros Agrícolas, las ASADAS, ONGs que se forman.  El Sistema PPD audita todos los proyectos al final.  En ASADAS se han hecho proyectos que implican cambiar tuberías, mejoramiento de tanques, cercados (para propiciar regeneración natural).  No se ha promovido reforestación como tal, solo regeneración natural.  En la primera fase si se sembraba árboles forestales y frutales. Pero con las auditorías de los proyectos se encontró que la mortalidad era alta. Se han promovido viveros de estos árboles y más que todos los frutales que los cuidan más.  Tienen la colaboración de las oficinas del MAG.  Hay una base de datos de la información de las fincas que ingresan al programa para plantear las acciones en que se le puede ayudar al finquero.  Se le hace un plan de finca con lo que le interesa realizar al finquero y se le consiguen los insumos.  Son zonas cafetaleras.  Se han reforestado en áreas de protección y se ha hecho bastante SAF (cercas vivas, apartos, etc.).  En conservación de suelos se han hecho acequias de ladera, canales de guardia, "gavetas" (como en los cafetales) para la infiltración y hasta guardan "abono natural", y en cafetales se ha hasta duplicado la productividad.  Con los ganaderos se han hecho cercas vivas, cortinas rompevientos, con las de poca área los bancos forrajeros + el techo del corral + picadora de pasto tal que está el ganado semi estabulado y que a cambio liberen una pequeña porción para regeneración natural (pj de 5 ha, media para el banco forrajero y media para regeneración).  GEF 5, Primera etapa $750.000 + $280.000 también en la cuenca Jesús María para una metodologia para asegurar la resiliencia de los pueblos; GEF 6, segunda etapa $2.600.000 que 60% para Jesús María y 40% para Barranca.    En el tema hídrico lo que se ha hecho es "cosechas de agua" que es hacer un hueco de 8x4x2 metros forrado con lona y se llena de agua para agua de riego, poner peces o camarones, etc.
El proyecto se acaba en 2019.  En 2018 viene GEF 7 y se piensa que no nos darán más de $650.000, y eso que CR es de los que se les asigna más por su buena ejecución.  La forma en que REDD+ puede aportar es que una vez que se acabe se ocupa tener otra vez $2,5 millones para seguir con Barranca y pasar a la del Tárcoles que es la siguiente.  La del Parrita está en cuarto lugar. Luego vienen las del lado Chorotega (Abangares, Bebedero, Tusubres, Tempisque y Nicoya).</t>
        </r>
      </text>
    </comment>
    <comment ref="AJ61" authorId="0" shapeId="0">
      <text>
        <r>
          <rPr>
            <b/>
            <sz val="9"/>
            <color indexed="81"/>
            <rFont val="Tahoma"/>
            <family val="2"/>
          </rPr>
          <t>Edwin Vega-Araya:</t>
        </r>
        <r>
          <rPr>
            <sz val="9"/>
            <color indexed="81"/>
            <rFont val="Tahoma"/>
            <family val="2"/>
          </rPr>
          <t xml:space="preserve">
Como habrá más recursos se puede casi duplicar la atención por año</t>
        </r>
      </text>
    </comment>
    <comment ref="BH61" authorId="0" shapeId="0">
      <text>
        <r>
          <rPr>
            <b/>
            <sz val="9"/>
            <color indexed="81"/>
            <rFont val="Tahoma"/>
            <family val="2"/>
          </rPr>
          <t>Edwin Vega-Araya:</t>
        </r>
        <r>
          <rPr>
            <sz val="9"/>
            <color indexed="81"/>
            <rFont val="Tahoma"/>
            <family val="2"/>
          </rPr>
          <t xml:space="preserve">
MANO DE OBRA ESTATAL:
Actualmente SINAC tiene 2 profesionales tiempo completo en CADETI (1200000*2*13 = 31,200,000). 
+ en el MAG hay 2 profesionales tiempo completo (31,200,000) 
+ 3 del INTA de 1/4 de tiempo que dedican (1200000*3*13/4 = 11,700,000) 
+ 5 del MAG en el campo que hacen los planes de finca y los proyectos (1/2 tiempo del proyecto con sus viáticos correspondientes: 750,000*5*13/2 = 24,375,000)
TOTAL = 98,475,000 colones.
FONDOS DISPONIBLES PARA FINCAS: 
$2,600,000 - 30% del 2017 al 2019 
$650,000 - 30% del 2020 al 2025</t>
        </r>
      </text>
    </comment>
    <comment ref="BV61" authorId="0" shapeId="0">
      <text>
        <r>
          <rPr>
            <b/>
            <sz val="9"/>
            <color indexed="81"/>
            <rFont val="Tahoma"/>
            <family val="2"/>
          </rPr>
          <t>Edwin Vega-Araya:</t>
        </r>
        <r>
          <rPr>
            <sz val="9"/>
            <color indexed="81"/>
            <rFont val="Tahoma"/>
            <family val="2"/>
          </rPr>
          <t xml:space="preserve">
El personal más o menos sería el mismo para operar el proyecto.  La parte importante sería el dinero adicional para los años en que no se cuenta financiamiento.  Tal vez algo de reforzar extensión propiamente en SINAC pues se ha perdido.</t>
        </r>
      </text>
    </comment>
    <comment ref="BY61" authorId="0" shapeId="0">
      <text>
        <r>
          <rPr>
            <b/>
            <sz val="9"/>
            <color indexed="81"/>
            <rFont val="Tahoma"/>
            <family val="2"/>
          </rPr>
          <t>Edwin Vega-Araya:</t>
        </r>
        <r>
          <rPr>
            <sz val="9"/>
            <color indexed="81"/>
            <rFont val="Tahoma"/>
            <family val="2"/>
          </rPr>
          <t xml:space="preserve">
Se aportarían $2,000,000 durante 3 años.</t>
        </r>
      </text>
    </comment>
    <comment ref="CB61" authorId="0" shapeId="0">
      <text>
        <r>
          <rPr>
            <b/>
            <sz val="9"/>
            <color indexed="81"/>
            <rFont val="Tahoma"/>
            <family val="2"/>
          </rPr>
          <t>Edwin Vega-Araya:</t>
        </r>
        <r>
          <rPr>
            <sz val="9"/>
            <color indexed="81"/>
            <rFont val="Tahoma"/>
            <family val="2"/>
          </rPr>
          <t xml:space="preserve">
Se aportarían $2,000,000 durante 3 años.</t>
        </r>
      </text>
    </comment>
    <comment ref="AI62" authorId="0" shapeId="0">
      <text>
        <r>
          <rPr>
            <b/>
            <sz val="9"/>
            <color indexed="81"/>
            <rFont val="Tahoma"/>
            <family val="2"/>
          </rPr>
          <t>Edwin Vega-Araya:</t>
        </r>
        <r>
          <rPr>
            <sz val="9"/>
            <color indexed="81"/>
            <rFont val="Tahoma"/>
            <family val="2"/>
          </rPr>
          <t xml:space="preserve">
Solo se considera el acercamiento de REDD a las municipalidades como inicio del proceso para que el IFAM y las municipalidades desarrollen proyectos REDD+.</t>
        </r>
      </text>
    </comment>
    <comment ref="BV62" authorId="0" shapeId="0">
      <text>
        <r>
          <rPr>
            <b/>
            <sz val="9"/>
            <color indexed="81"/>
            <rFont val="Tahoma"/>
            <family val="2"/>
          </rPr>
          <t>Edwin Vega-Araya:</t>
        </r>
        <r>
          <rPr>
            <sz val="9"/>
            <color indexed="81"/>
            <rFont val="Tahoma"/>
            <family val="2"/>
          </rPr>
          <t xml:space="preserve">
Se estima desarrollar con fondos de la Preparación (plan de adquisiciones) dentro del contrato del Apoyo Social de la Secretaría. (1/4 del tiempo del consultor en ese año)</t>
        </r>
      </text>
    </comment>
    <comment ref="AI64" authorId="0" shapeId="0">
      <text>
        <r>
          <rPr>
            <b/>
            <sz val="9"/>
            <color indexed="81"/>
            <rFont val="Tahoma"/>
            <family val="2"/>
          </rPr>
          <t>Edwin Vega-Araya:</t>
        </r>
        <r>
          <rPr>
            <sz val="9"/>
            <color indexed="81"/>
            <rFont val="Tahoma"/>
            <family val="2"/>
          </rPr>
          <t xml:space="preserve">
A través de Corredores biológicos es que se daría el apoyo a esto.
Los corredores que se estarán trabajando con las municipalidades son:
1-Corredor ruta los Malecu (Guatuso, Upala y Los Chiles)
2. COBRISURAC (Cartago)
3.Corredor Garcimuñoz y Torres (San José)
</t>
        </r>
        <r>
          <rPr>
            <b/>
            <sz val="9"/>
            <color indexed="81"/>
            <rFont val="Tahoma"/>
            <family val="2"/>
          </rPr>
          <t>Magaly Castro:</t>
        </r>
        <r>
          <rPr>
            <sz val="9"/>
            <color indexed="81"/>
            <rFont val="Tahoma"/>
            <family val="2"/>
          </rPr>
          <t xml:space="preserve">
Hay 7 u 8 planes de gestión de corredores biológicos, y apenas se va a hacer el plan estratégico a nivel nacional de corredores biológicos donde se establecería meta.  La estrategia de Adapatación al CC dice de crear 12 corredores biológicos nuevos.  En las metas país Aichi dice de ampliar la conectividad en un 0.5% en conectividad que significa 3 corredores biológicos nuevos.</t>
        </r>
      </text>
    </comment>
    <comment ref="AL64" authorId="0" shapeId="0">
      <text>
        <r>
          <rPr>
            <b/>
            <sz val="9"/>
            <color indexed="81"/>
            <rFont val="Tahoma"/>
            <family val="2"/>
          </rPr>
          <t>Edwin Vega-Araya:</t>
        </r>
        <r>
          <rPr>
            <sz val="9"/>
            <color indexed="81"/>
            <rFont val="Tahoma"/>
            <family val="2"/>
          </rPr>
          <t xml:space="preserve">
Se espera que haya acciones aisladas de las municipalidades pero no un plan estructurado, esto debido a la menor aplicación de recursos.</t>
        </r>
      </text>
    </comment>
    <comment ref="BG64" authorId="0" shapeId="0">
      <text>
        <r>
          <rPr>
            <b/>
            <sz val="9"/>
            <color indexed="81"/>
            <rFont val="Tahoma"/>
            <family val="2"/>
          </rPr>
          <t>Edwin Vega-Araya:</t>
        </r>
        <r>
          <rPr>
            <sz val="9"/>
            <color indexed="81"/>
            <rFont val="Tahoma"/>
            <family val="2"/>
          </rPr>
          <t xml:space="preserve">
Incluye Elaboración del Plan (un forestal) +- 5millones
Más capacitación y sensibilización del mismo (tallleres a Concejo Municipal, al Consejo del Corredor Biológico, y otras fuerzas vivas) +- 300.000 por taller y (15 personas x  40.000 por persona = 600.000.  Y son por 2 talleres y un intercambio por municipalidad).  total = 1.200.000
Materia prima (una parte donaciones, y otra compra en viveros locales y posiblemente fomentar la creación de alguno) +- 600.000 (se hace una analogía aproximada con la siembra de cercas en SAF)
Esto implica el costo por municipalidad atendida es de 6.800.000 </t>
        </r>
      </text>
    </comment>
    <comment ref="AS67" authorId="0" shapeId="0">
      <text>
        <r>
          <rPr>
            <b/>
            <sz val="9"/>
            <color indexed="81"/>
            <rFont val="Tahoma"/>
            <family val="2"/>
          </rPr>
          <t>Edwin Vega-Araya:</t>
        </r>
        <r>
          <rPr>
            <sz val="9"/>
            <color indexed="81"/>
            <rFont val="Tahoma"/>
            <family val="2"/>
          </rPr>
          <t xml:space="preserve">
La mejora es en la calidad de las tierras que son tranferidas y que tienen potencial REDD+</t>
        </r>
      </text>
    </comment>
    <comment ref="BV67" authorId="0" shapeId="0">
      <text>
        <r>
          <rPr>
            <b/>
            <sz val="9"/>
            <color indexed="81"/>
            <rFont val="Tahoma"/>
            <family val="2"/>
          </rPr>
          <t>Edwin Vega-Araya:</t>
        </r>
        <r>
          <rPr>
            <sz val="9"/>
            <color indexed="81"/>
            <rFont val="Tahoma"/>
            <family val="2"/>
          </rPr>
          <t xml:space="preserve">
se quiere pasar de 4 a 10 topógrafos en un lapso de 6 años (de 2018 a 2023) y se mantienen luego.   1.000.000 al mes más un 500.000 al mes de viáticos.
Anualmente = 1,000,000*13 + 500,000*12 = 19,000,000</t>
        </r>
      </text>
    </comment>
    <comment ref="C68"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O68" authorId="0" shapeId="0">
      <text>
        <r>
          <rPr>
            <b/>
            <sz val="9"/>
            <color indexed="81"/>
            <rFont val="Tahoma"/>
            <family val="2"/>
          </rPr>
          <t>Edwin Vega-Araya:</t>
        </r>
        <r>
          <rPr>
            <sz val="9"/>
            <color indexed="81"/>
            <rFont val="Tahoma"/>
            <family val="2"/>
          </rPr>
          <t xml:space="preserve">
OJO: No se incluyó como cajita en el mapa mental el aprovechar el potencial REDD+ del PNE
</t>
        </r>
        <r>
          <rPr>
            <b/>
            <sz val="9"/>
            <color indexed="81"/>
            <rFont val="Tahoma"/>
            <family val="2"/>
          </rPr>
          <t>MAURICIO CASTILLO:</t>
        </r>
        <r>
          <rPr>
            <sz val="9"/>
            <color indexed="81"/>
            <rFont val="Tahoma"/>
            <family val="2"/>
          </rPr>
          <t xml:space="preserve">
La Ley Forestal 7575 solo permite 3 usos en las tierras PNE: 1.Educación Ambiental 2.Investigación y 3.Ecoturismo.   Por lo tanto la actividad se restringe a dichos usos posibles.</t>
        </r>
      </text>
    </comment>
    <comment ref="AH68" authorId="0" shapeId="0">
      <text>
        <r>
          <rPr>
            <b/>
            <sz val="9"/>
            <color indexed="81"/>
            <rFont val="Tahoma"/>
            <family val="2"/>
          </rPr>
          <t>Edwin Vega-Araya:</t>
        </r>
        <r>
          <rPr>
            <sz val="9"/>
            <color indexed="81"/>
            <rFont val="Tahoma"/>
            <family val="2"/>
          </rPr>
          <t xml:space="preserve">
Es PNE</t>
        </r>
      </text>
    </comment>
    <comment ref="BG68"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BH68" authorId="0" shapeId="0">
      <text>
        <r>
          <rPr>
            <b/>
            <sz val="9"/>
            <color indexed="81"/>
            <rFont val="Tahoma"/>
            <family val="2"/>
          </rPr>
          <t>Edwin Vega-Araya:</t>
        </r>
        <r>
          <rPr>
            <sz val="9"/>
            <color indexed="81"/>
            <rFont val="Tahoma"/>
            <family val="2"/>
          </rPr>
          <t xml:space="preserve">
Un funcionario por Área de Conservación x un 1/5 del tiempo a 1,000,000 de salario + 1,200,000 viáticos al año.</t>
        </r>
      </text>
    </comment>
    <comment ref="BV68" authorId="0" shapeId="0">
      <text>
        <r>
          <rPr>
            <b/>
            <sz val="9"/>
            <color indexed="81"/>
            <rFont val="Tahoma"/>
            <family val="2"/>
          </rPr>
          <t>Edwin Vega-Araya:</t>
        </r>
        <r>
          <rPr>
            <sz val="9"/>
            <color indexed="81"/>
            <rFont val="Tahoma"/>
            <family val="2"/>
          </rPr>
          <t xml:space="preserve">
Podría ser que pronto se modifique la Ley y se aumenten los usos permitidos en PNE, lo que aumentaría el presupuesto en esto al doble.
El incremento en tiempo es que pase de 1/5 a 1/2 para hacer bien la función.</t>
        </r>
      </text>
    </comment>
    <comment ref="C69"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O69" authorId="0" shapeId="0">
      <text>
        <r>
          <rPr>
            <b/>
            <sz val="9"/>
            <color indexed="81"/>
            <rFont val="Tahoma"/>
            <family val="2"/>
          </rPr>
          <t>Edwin Vega-Araya:</t>
        </r>
        <r>
          <rPr>
            <sz val="9"/>
            <color indexed="81"/>
            <rFont val="Tahoma"/>
            <family val="2"/>
          </rPr>
          <t xml:space="preserve">
Consistiría en el apoyo al modelo planteado en el Plan de Adquisiciones.</t>
        </r>
      </text>
    </comment>
    <comment ref="AS69" authorId="0" shapeId="0">
      <text>
        <r>
          <rPr>
            <b/>
            <sz val="9"/>
            <color indexed="81"/>
            <rFont val="Tahoma"/>
            <family val="2"/>
          </rPr>
          <t>Edwin Vega-Araya:</t>
        </r>
        <r>
          <rPr>
            <sz val="9"/>
            <color indexed="81"/>
            <rFont val="Tahoma"/>
            <family val="2"/>
          </rPr>
          <t xml:space="preserve">
considera los esfuerzos de validación. Un taller.</t>
        </r>
      </text>
    </comment>
    <comment ref="BV69" authorId="0" shapeId="0">
      <text>
        <r>
          <rPr>
            <b/>
            <sz val="9"/>
            <color indexed="81"/>
            <rFont val="Tahoma"/>
            <family val="2"/>
          </rPr>
          <t>Edwin Vega-Araya:</t>
        </r>
        <r>
          <rPr>
            <sz val="9"/>
            <color indexed="81"/>
            <rFont val="Tahoma"/>
            <family val="2"/>
          </rPr>
          <t xml:space="preserve">
Taller de validación de zonas prioritarias para REDD+</t>
        </r>
      </text>
    </comment>
    <comment ref="AI71" authorId="0" shapeId="0">
      <text>
        <r>
          <rPr>
            <b/>
            <sz val="9"/>
            <color indexed="81"/>
            <rFont val="Tahoma"/>
            <family val="2"/>
          </rPr>
          <t>Edwin Vega-Araya:</t>
        </r>
        <r>
          <rPr>
            <sz val="9"/>
            <color indexed="81"/>
            <rFont val="Tahoma"/>
            <family val="2"/>
          </rPr>
          <t xml:space="preserve">
Idealmente se debería hacer 1 por año para cada ASP, por lo menos en las más conflictivas.  SINAC ahora protege a 32 parques nacionales, 51 refugios de vida silvestre, 13 reservas forestales y 8 reservas biológicas = 104 ASPs.</t>
        </r>
      </text>
    </comment>
    <comment ref="AS71" authorId="0" shapeId="0">
      <text>
        <r>
          <rPr>
            <b/>
            <sz val="9"/>
            <color indexed="81"/>
            <rFont val="Tahoma"/>
            <family val="2"/>
          </rPr>
          <t>Edwin Vega-Araya:</t>
        </r>
        <r>
          <rPr>
            <sz val="9"/>
            <color indexed="81"/>
            <rFont val="Tahoma"/>
            <family val="2"/>
          </rPr>
          <t xml:space="preserve">
duplicar al menos lo sin redd</t>
        </r>
      </text>
    </comment>
    <comment ref="BG71" authorId="0" shapeId="0">
      <text>
        <r>
          <rPr>
            <b/>
            <sz val="9"/>
            <color indexed="81"/>
            <rFont val="Tahoma"/>
            <family val="2"/>
          </rPr>
          <t>Edwin Vega-Araya:</t>
        </r>
        <r>
          <rPr>
            <sz val="9"/>
            <color indexed="81"/>
            <rFont val="Tahoma"/>
            <family val="2"/>
          </rPr>
          <t xml:space="preserve">
más o menos cada estudio vale 100,000</t>
        </r>
      </text>
    </comment>
    <comment ref="BV71" authorId="0" shapeId="0">
      <text>
        <r>
          <rPr>
            <b/>
            <sz val="9"/>
            <color indexed="81"/>
            <rFont val="Tahoma"/>
            <family val="2"/>
          </rPr>
          <t>Edwin Vega-Araya:</t>
        </r>
        <r>
          <rPr>
            <sz val="9"/>
            <color indexed="81"/>
            <rFont val="Tahoma"/>
            <family val="2"/>
          </rPr>
          <t xml:space="preserve">
Se busca más bien sistematizar tal que haya un proceso en que no salga tan caro cada estudio.  La regularización depende de muchas cosas resultado de los estudios.</t>
        </r>
      </text>
    </comment>
    <comment ref="CP71" authorId="0" shapeId="0">
      <text>
        <r>
          <rPr>
            <b/>
            <sz val="9"/>
            <color indexed="81"/>
            <rFont val="Tahoma"/>
            <family val="2"/>
          </rPr>
          <t>Edwin Vega-Araya:</t>
        </r>
        <r>
          <rPr>
            <sz val="9"/>
            <color indexed="81"/>
            <rFont val="Tahoma"/>
            <family val="2"/>
          </rPr>
          <t xml:space="preserve">
Se supone que 5/6 de los $90,000 se usan en ASP y 1/6 en otras zonas ABRE.</t>
        </r>
      </text>
    </comment>
    <comment ref="BV72" authorId="0" shapeId="0">
      <text>
        <r>
          <rPr>
            <b/>
            <sz val="9"/>
            <color indexed="81"/>
            <rFont val="Tahoma"/>
            <family val="2"/>
          </rPr>
          <t>Edwin Vega-Araya:</t>
        </r>
        <r>
          <rPr>
            <sz val="9"/>
            <color indexed="81"/>
            <rFont val="Tahoma"/>
            <family val="2"/>
          </rPr>
          <t xml:space="preserve">
Consiste en el apoyo a través del Plan de Adquisiciones del FCPF</t>
        </r>
      </text>
    </comment>
    <comment ref="A7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C7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O73" authorId="5" shapeId="0">
      <text>
        <r>
          <rPr>
            <b/>
            <sz val="9"/>
            <color indexed="81"/>
            <rFont val="Tahoma"/>
            <family val="2"/>
          </rPr>
          <t>Ulate:</t>
        </r>
        <r>
          <rPr>
            <sz val="9"/>
            <color indexed="81"/>
            <rFont val="Tahoma"/>
            <family val="2"/>
          </rPr>
          <t xml:space="preserve">
Se incluye el MAG aunque hay que entender que se trata del Sector Agropecuario, pues en muchos casos debe trabajarse con el INDER, etc.</t>
        </r>
      </text>
    </comment>
    <comment ref="C75"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O75" authorId="0" shapeId="0">
      <text>
        <r>
          <rPr>
            <b/>
            <sz val="9"/>
            <color indexed="81"/>
            <rFont val="Tahoma"/>
            <family val="2"/>
          </rPr>
          <t>Edwin Vega-Araya:</t>
        </r>
        <r>
          <rPr>
            <sz val="9"/>
            <color indexed="81"/>
            <rFont val="Tahoma"/>
            <family val="2"/>
          </rPr>
          <t xml:space="preserve">
Se considera labor normal de la secretaría financiada dentro del Plan de Adquisiciones</t>
        </r>
      </text>
    </comment>
    <comment ref="BV77" authorId="0" shapeId="0">
      <text>
        <r>
          <rPr>
            <b/>
            <sz val="9"/>
            <color indexed="81"/>
            <rFont val="Tahoma"/>
            <family val="2"/>
          </rPr>
          <t>Edwin Vega-Araya:</t>
        </r>
        <r>
          <rPr>
            <sz val="9"/>
            <color indexed="81"/>
            <rFont val="Tahoma"/>
            <family val="2"/>
          </rPr>
          <t xml:space="preserve">
Lobby político $1000/año</t>
        </r>
      </text>
    </comment>
    <comment ref="C79"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O79" authorId="0" shapeId="0">
      <text>
        <r>
          <rPr>
            <b/>
            <sz val="9"/>
            <color indexed="81"/>
            <rFont val="Tahoma"/>
            <family val="2"/>
          </rPr>
          <t xml:space="preserve">Edwin Vega-Araya: </t>
        </r>
        <r>
          <rPr>
            <sz val="9"/>
            <color indexed="81"/>
            <rFont val="Tahoma"/>
            <family val="2"/>
          </rPr>
          <t>EN ESTA ACTIVIDAD SE CONTEMPLA LO NECESARIO PARA DESARROLLAR LA FASE B DE LA PROPUESTA PARA UN SNMF SEGÚN LA DIRECTRIZ MINISTERIAL
Está por presentarse la propuesta del SIMOCUTE, a finales de enero 2016; que define los diferentes componentes  sobre los que más específicamente se puede planificar.
FAO: colabora con Xinia y Carla en el diseño del sistema y contrataciones particulares para arreglos institucionales (legales), rediseñar Base de Datos del INF, y va a financiar expertos del SF de EUA para la propuesta de redisñeo del Inventario si es que vale la pena cambiar.  Todo es seguro, son como $200.000.
BID: se espera que ayuden en la plataforma tecnológica para los procesos de validación del SIMOCUTE que sea de facil acceso para todas las instituciones. Que tengan acceso a información remota normalizada y unificada y validada.  Pueden haber otras opciones.  Es diferente al SNIT que define los protocolos para la publicación de la información. Son como $200.000.
MACOBIO: Apoyo a lo que ya se tiene de indicadores de SINIA para alojar los indicadores de seguimiento al PSA y quieren financiar el rediseño del sistema para mejorar el que está actualizado. Son como $20.000.
REDD+: Se necesita que el Inventario Forestal se haga consistente con los requerimientos de REDD (cada 2 años) y reportando lo que se ocupa ().  Cuando esté el SIMOCUTE se requiere prepararse para los recálculos del NR cuando se vayan incluyendo nuevas actividades.  La propuesta de Javier en el capítulo de acciones a futuro, habría que trabajar para cumplir con la parte de MRV.  Los temas estarían contemplados en el Plan de Adquisiciones. OJO REVISAR LOS ITEMS INCLUIDOS DEL PLAND DE ADQUISICIONES.
AMAS (de Pascal) ha dado soporte a CENIGA para generación de indicadores clave que fue como $30.000 y se espera que continue el proceso hasta marzo (otros $30.000).  También generar "cánones" para poder financiarse.
OCDE: La cooperación Española quiere apoyar el sistema de indicadores. No hay definido el monto.  CR debe responder a eso y el Gobierno no ha financiado ordinariamente eso.
CTCN: Se presentó un proyecto para SINAMECC donde la "E" sería una financiación para SIMOCUTE, pero no hay claridad todavía más que la contratación de Nelson Zamora para toda la parte de Ecosistemas. (¿$30,000?)
PRESUPUESTO ORDINARIO: 3.000.000 al año es para CENIGA = $5,000+ Extraordinarios (más bien les quitan) + personal (3 personas = $70,000)
TOTAL SIN REDD: 200,000+200,000+20,000+30,000+30,000+75,000 = $555,000 = 305,250,000 colones.</t>
        </r>
      </text>
    </comment>
    <comment ref="AI79" authorId="0" shapeId="0">
      <text>
        <r>
          <rPr>
            <b/>
            <sz val="9"/>
            <color indexed="81"/>
            <rFont val="Tahoma"/>
            <family val="2"/>
          </rPr>
          <t>Edwin Vega-Araya:</t>
        </r>
        <r>
          <rPr>
            <sz val="9"/>
            <color indexed="81"/>
            <rFont val="Tahoma"/>
            <family val="2"/>
          </rPr>
          <t xml:space="preserve">
Todo debe culminar con la publicación de un decreto que lo oficialice.  El diseño tiene 3 nodos principales: 1) Monitoreo (y arreglos institucionales) 2) Clasificación  3) Mapeo.  Todas las etapas deben cumplirse para decir que está operando.
Para REDD+ el Informe de Javier y Lucio ellos plantearon qué hay que hacer para que el SIMOCUTE cumpla esos tres nodos dentro de la parte de REDD+.  No es seguro que alcance lo que está en el Plan de Adquisiones para que se desarrolle el MRV de REDD+, y eso lo dice el estudio del diseño.
En la parte del INF en Rediseño y variables hay datos del costo de la medición de las parcelas. PREGUNTAR A MAURICIO CASTILLO el costo, y podría ser lo sin REDD.  Lo con REDD sería lo proyectado por el informe de Javier que hay que "adaptar" a lo presupuestado en Plan de Adquisiciones.  La MESA TÉCNICA de REDD del SIMOCUTE dirá lo que al final se hará.  La mesa técnica puede hacerse con 3 talleres coordinada por un consultor en el primer semestre 2017.  Xinia es la consultora y maneja la logística y costos.</t>
        </r>
      </text>
    </comment>
    <comment ref="AM79" authorId="0" shapeId="0">
      <text>
        <r>
          <rPr>
            <b/>
            <sz val="9"/>
            <color indexed="81"/>
            <rFont val="Tahoma"/>
            <family val="2"/>
          </rPr>
          <t>Edwin Vega-Araya:</t>
        </r>
        <r>
          <rPr>
            <sz val="9"/>
            <color indexed="81"/>
            <rFont val="Tahoma"/>
            <family val="2"/>
          </rPr>
          <t xml:space="preserve">
El Sistema existe pero no permite incorporar nuevas actividades REDD+.</t>
        </r>
      </text>
    </comment>
    <comment ref="BV79" authorId="0" shapeId="0">
      <text>
        <r>
          <rPr>
            <b/>
            <sz val="9"/>
            <color indexed="81"/>
            <rFont val="Tahoma"/>
            <family val="2"/>
          </rPr>
          <t>Edwin Vega-Araya:</t>
        </r>
        <r>
          <rPr>
            <sz val="9"/>
            <color indexed="81"/>
            <rFont val="Tahoma"/>
            <family val="2"/>
          </rPr>
          <t xml:space="preserve">
La parte de los Fondos de Preparación para REDD se debe ejecutar en tres años, aproximando las siguientes proporciones: 2017 30%, 2018: 50%, 2019 20%.</t>
        </r>
      </text>
    </comment>
    <comment ref="CP79" authorId="0" shapeId="0">
      <text>
        <r>
          <rPr>
            <b/>
            <sz val="9"/>
            <color indexed="81"/>
            <rFont val="Tahoma"/>
            <family val="2"/>
          </rPr>
          <t>Edwin Vega-Araya:</t>
        </r>
        <r>
          <rPr>
            <sz val="9"/>
            <color indexed="81"/>
            <rFont val="Tahoma"/>
            <family val="2"/>
          </rPr>
          <t xml:space="preserve">
La idea es usar eso para implementar el diseño que salga del apoyo de FAO</t>
        </r>
      </text>
    </comment>
    <comment ref="Q80" authorId="0" shapeId="0">
      <text>
        <r>
          <rPr>
            <b/>
            <sz val="9"/>
            <color indexed="81"/>
            <rFont val="Tahoma"/>
            <family val="2"/>
          </rPr>
          <t>Edwin Vega-Araya:</t>
        </r>
        <r>
          <rPr>
            <sz val="9"/>
            <color indexed="81"/>
            <rFont val="Tahoma"/>
            <family val="2"/>
          </rPr>
          <t xml:space="preserve">
No se ha consultado con ella todavía, solo hay la propuesta de que sea IMN quien lidere Fase A, pero puede ser la misma coordinación de la Secretaría.</t>
        </r>
      </text>
    </comment>
    <comment ref="CP80" authorId="0" shapeId="0">
      <text>
        <r>
          <rPr>
            <b/>
            <sz val="9"/>
            <color indexed="81"/>
            <rFont val="Tahoma"/>
            <family val="2"/>
          </rPr>
          <t>Edwin Vega-Araya:</t>
        </r>
        <r>
          <rPr>
            <sz val="9"/>
            <color indexed="81"/>
            <rFont val="Tahoma"/>
            <family val="2"/>
          </rPr>
          <t xml:space="preserve">
Incluye el coordinador de MRV de la secretaría y el desarrollo del SM para Plantaciones forestales y SAF.  Entonces contempla fases A y C de la propuesta.</t>
        </r>
      </text>
    </comment>
    <comment ref="AI81" authorId="0" shapeId="0">
      <text>
        <r>
          <rPr>
            <b/>
            <sz val="9"/>
            <color indexed="81"/>
            <rFont val="Tahoma"/>
            <family val="2"/>
          </rPr>
          <t>Edwin Vega-Araya:</t>
        </r>
        <r>
          <rPr>
            <sz val="9"/>
            <color indexed="81"/>
            <rFont val="Tahoma"/>
            <family val="2"/>
          </rPr>
          <t xml:space="preserve">
El enfoque es monitoreo, pj actualmente con el proyecto MAPCOBIO con un componente de monitoreo participativo con cámaras trampa y se podría ampliar a indígenas.  La interpretación de datos implica pensar en la contratación de especialista puntual en algunos puntos en el tiempo.
Además otros componentes sería 1. la sistematización de lo que se ha hecho SINAC-INDÍGENAS y 2. la elaboración de planes de gestión comunitarios del manejo del bosque.</t>
        </r>
      </text>
    </comment>
    <comment ref="AJ81" authorId="0" shapeId="0">
      <text>
        <r>
          <rPr>
            <b/>
            <sz val="9"/>
            <color indexed="81"/>
            <rFont val="Tahoma"/>
            <family val="2"/>
          </rPr>
          <t>Edwin Vega-Araya:</t>
        </r>
        <r>
          <rPr>
            <sz val="9"/>
            <color indexed="81"/>
            <rFont val="Tahoma"/>
            <family val="2"/>
          </rPr>
          <t xml:space="preserve">
No se alcanza a desarrollar el modelo en el año en la situación actual, se estima avance de 25%.</t>
        </r>
      </text>
    </comment>
    <comment ref="AS81" authorId="4" shapeId="0">
      <text>
        <r>
          <rPr>
            <b/>
            <sz val="9"/>
            <color indexed="81"/>
            <rFont val="Tahoma"/>
            <family val="2"/>
          </rPr>
          <t>Magally Castro Alvarez:</t>
        </r>
        <r>
          <rPr>
            <sz val="9"/>
            <color indexed="81"/>
            <rFont val="Tahoma"/>
            <family val="2"/>
          </rPr>
          <t xml:space="preserve">
Se espera en este año capacitar al personal del SINAC, FONAFIFO Y CONAGEBIO en sistematización de experiencias, y crear capacidades para trabajo en territorios indigenas.  Asi como elaboración de dignóstico y sistematización de acciones desarrolladas por las instituciones mencionadas y los usos tradicionales de la biodiversidad y bosques que desarrollan los indigenas.
</t>
        </r>
        <r>
          <rPr>
            <b/>
            <sz val="9"/>
            <color indexed="81"/>
            <rFont val="Tahoma"/>
            <family val="2"/>
          </rPr>
          <t xml:space="preserve">Edwin Vega-Araya:
</t>
        </r>
        <r>
          <rPr>
            <sz val="9"/>
            <color indexed="81"/>
            <rFont val="Tahoma"/>
            <family val="2"/>
          </rPr>
          <t>La mejora es principalmente cualititativa entre un sistema de monitoreo sin REDD+ y otro con REDD+.</t>
        </r>
      </text>
    </comment>
    <comment ref="BG81" authorId="4" shapeId="0">
      <text>
        <r>
          <rPr>
            <b/>
            <sz val="9"/>
            <color indexed="81"/>
            <rFont val="Tahoma"/>
            <family val="2"/>
          </rPr>
          <t>Magally Castro Alvarez:</t>
        </r>
        <r>
          <rPr>
            <sz val="9"/>
            <color indexed="81"/>
            <rFont val="Tahoma"/>
            <family val="2"/>
          </rPr>
          <t xml:space="preserve">
Implica salario de 4 compañeros que han trabajado en el año con temas indigenas y contrapartida del proyecto MAPCOBIO por sistematización de un proyecto en un territorio indigena </t>
        </r>
      </text>
    </comment>
    <comment ref="BH81" authorId="4" shapeId="0">
      <text>
        <r>
          <rPr>
            <b/>
            <sz val="9"/>
            <color indexed="81"/>
            <rFont val="Tahoma"/>
            <family val="2"/>
          </rPr>
          <t>Magally Castro Alvarez:</t>
        </r>
        <r>
          <rPr>
            <sz val="9"/>
            <color indexed="81"/>
            <rFont val="Tahoma"/>
            <family val="2"/>
          </rPr>
          <t xml:space="preserve">
En cada año se está incluyendo salarios y combustible de 4 funcionarios en 4 AC.  Que incluye acciones aisladas de gestión en territorios indigenas hacia la conservación y uso sostenible de la biodiversidad  (en muy pequeña escala)</t>
        </r>
      </text>
    </comment>
    <comment ref="BI81" authorId="4" shapeId="0">
      <text>
        <r>
          <rPr>
            <b/>
            <sz val="9"/>
            <color indexed="81"/>
            <rFont val="Tahoma"/>
            <family val="2"/>
          </rPr>
          <t>Magally Castro Alvarez:</t>
        </r>
        <r>
          <rPr>
            <sz val="9"/>
            <color indexed="81"/>
            <rFont val="Tahoma"/>
            <family val="2"/>
          </rPr>
          <t xml:space="preserve">
Incluye lo expuesto en el punto anterior (año 2017).  Más fondos para dos talleres con el objetivo de sistematizar lo que SINAC ha realizado en dos territorios indigenas.  Implica un proceso interno 
</t>
        </r>
      </text>
    </comment>
    <comment ref="BV81" authorId="4" shapeId="0">
      <text>
        <r>
          <rPr>
            <b/>
            <sz val="9"/>
            <color indexed="81"/>
            <rFont val="Tahoma"/>
            <family val="2"/>
          </rPr>
          <t>Magally Castro Alvarez:</t>
        </r>
        <r>
          <rPr>
            <sz val="9"/>
            <color indexed="81"/>
            <rFont val="Tahoma"/>
            <family val="2"/>
          </rPr>
          <t xml:space="preserve">
Incluye:
- 15.000.000 para capacitación del personal del SINAC, CONAGEBIO Y FONAFIFO para sistematizar experiencias en TI.  Además capacitar en herramientas para trabajo con territorios indigenas tales como (comunicación asertiva, resolución de conflictos, cultura y tradiciones indígenas, legislación entre otros).  Incluye elaboración e impresión de manual de capacitación. 
- 5.500.000 para sistematizar lo que ha hecho o dirigido el SINAC, FONAFICO Y CONAGEBIO en 8 territorios indigenas en los ultimos cinco años. (inlcuye el diagnóstico, talleres e impresión de documento final.
- 13.700.0000 para diagnóstico y sistematización de 8 territorios indigenas el uso tradicional  de la biodiversidad y del bosque (inlcuye impresión de documento final)</t>
        </r>
      </text>
    </comment>
    <comment ref="BW81" authorId="4"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4.700.000 para un modulo de capacitación a TI sobre (biodiversidad, cambios climático, GIRH, bosques, legislacion ambiental)
- 4.400.000 para conformar dos grupos de COVIRENAS y monitoreo
 participativo 
- 13.750.000 para definir y establecer un sistema de monitoreo participativo con camara trampa para 4 territorios indigenas 
- 8.625.000 para comprar camaras y demas equipo para el monitoreo para dos TI 
- 
</t>
        </r>
      </text>
    </comment>
    <comment ref="BX81" authorId="4"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 analisis de datos y capacitar al SINAC para continuarlos </t>
        </r>
      </text>
    </comment>
    <comment ref="BY81" authorId="4" shapeId="0">
      <text>
        <r>
          <rPr>
            <b/>
            <sz val="9"/>
            <color indexed="81"/>
            <rFont val="Tahoma"/>
            <family val="2"/>
          </rPr>
          <t>Magally Castro Alvarez:</t>
        </r>
        <r>
          <rPr>
            <sz val="9"/>
            <color indexed="81"/>
            <rFont val="Tahoma"/>
            <family val="2"/>
          </rPr>
          <t xml:space="preserve">
Incluye: 
- 8.200.000 para elaborar un plan de manejo comunitario de usos tradicionales de la biodiversidad y bosques en un territorio indigena
- 4.400.000 para conformar dos grupos de COVIRENAS y monitoreo
 participativo  
- 4.400.000 para comprar camaras y demas equipo para el monitoreo para dos TI. y 
- 4.400.000 para Elaborar protocolo parqa promover modelos de gobernanza de uso tradicionales de la biodiversidad y bosques  con Territorios indígenas
- 11.0000.000 Analisis de datos y capacitar al 
personal del SINAC para continuarlos 
-22.000.000 presentar en la COP DE BIODIVERSIDAD el trabajo de CR con territorios infigenas</t>
        </r>
      </text>
    </comment>
    <comment ref="CA81" authorId="4" shapeId="0">
      <text>
        <r>
          <rPr>
            <b/>
            <sz val="9"/>
            <color indexed="81"/>
            <rFont val="Tahoma"/>
            <family val="2"/>
          </rPr>
          <t>Magally Castro Alvarez:</t>
        </r>
        <r>
          <rPr>
            <sz val="9"/>
            <color indexed="81"/>
            <rFont val="Tahoma"/>
            <family val="2"/>
          </rPr>
          <t xml:space="preserve">
Incluye: 
- 5.000.000 para elaborar un plan de manejo comunitario de usos tradicionales de la biodiversidad y bosques en un territorio indigena (modelo de gobernanza)
- 2.000.000 para conformar dos grupos de COVIRENAS y monitoreo
 participativo  
- 4.400.000 para comprar camaras y demas equipo para el monitoreo para dos TI. y 
</t>
        </r>
      </text>
    </comment>
    <comment ref="AI83" authorId="0" shapeId="0">
      <text>
        <r>
          <rPr>
            <b/>
            <sz val="9"/>
            <color indexed="81"/>
            <rFont val="Tahoma"/>
            <family val="2"/>
          </rPr>
          <t>Edwin Vega-Araya:</t>
        </r>
        <r>
          <rPr>
            <sz val="9"/>
            <color indexed="81"/>
            <rFont val="Tahoma"/>
            <family val="2"/>
          </rPr>
          <t xml:space="preserve">
OJO ESTÁ INCLUIDA ABAJO</t>
        </r>
      </text>
    </comment>
    <comment ref="BV83" authorId="0" shapeId="0">
      <text>
        <r>
          <rPr>
            <b/>
            <sz val="9"/>
            <color indexed="81"/>
            <rFont val="Tahoma"/>
            <family val="2"/>
          </rPr>
          <t>Edwin Vega-Araya:</t>
        </r>
        <r>
          <rPr>
            <sz val="9"/>
            <color indexed="81"/>
            <rFont val="Tahoma"/>
            <family val="2"/>
          </rPr>
          <t xml:space="preserve">
1/8 tiempo profesional en Ciencias sociales para MIRI a $4000/mes</t>
        </r>
      </text>
    </comment>
    <comment ref="AI84" authorId="0" shapeId="0">
      <text>
        <r>
          <rPr>
            <sz val="9"/>
            <color indexed="81"/>
            <rFont val="Tahoma"/>
            <family val="2"/>
          </rPr>
          <t>Ya se cuenta con la propuesta de SIS, se ocupa definir los indicadores finales a monitorear identificando si los mismos ya son generados por alguna institución, sino en caso contrario costo de generarlo e identificación del responsable.</t>
        </r>
      </text>
    </comment>
    <comment ref="BV84" authorId="0" shapeId="0">
      <text>
        <r>
          <rPr>
            <b/>
            <sz val="9"/>
            <color indexed="81"/>
            <rFont val="Tahoma"/>
            <family val="2"/>
          </rPr>
          <t>Edwin Vega-Araya:</t>
        </r>
        <r>
          <rPr>
            <sz val="9"/>
            <color indexed="81"/>
            <rFont val="Tahoma"/>
            <family val="2"/>
          </rPr>
          <t xml:space="preserve">
Por ahora se estima que ya los indicadores se generan en las instituciones por lo que se gastará 1/8 tiempo profesional en seguimiento e informes.</t>
        </r>
      </text>
    </comment>
    <comment ref="C88"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 ref="O88" authorId="0" shapeId="0">
      <text>
        <r>
          <rPr>
            <b/>
            <sz val="9"/>
            <color indexed="81"/>
            <rFont val="Tahoma"/>
            <family val="2"/>
          </rPr>
          <t>Edwin Vega-Araya:
ojo que se agregó palabra en mayúscula.</t>
        </r>
        <r>
          <rPr>
            <sz val="9"/>
            <color indexed="81"/>
            <rFont val="Tahoma"/>
            <family val="2"/>
          </rPr>
          <t xml:space="preserve">
Entra desde el programa de Educación Ambiental.</t>
        </r>
      </text>
    </comment>
    <comment ref="P88" authorId="4" shapeId="0">
      <text>
        <r>
          <rPr>
            <b/>
            <sz val="9"/>
            <color indexed="81"/>
            <rFont val="Tahoma"/>
            <family val="2"/>
          </rPr>
          <t>Magally Castro Alvarez:</t>
        </r>
        <r>
          <rPr>
            <sz val="9"/>
            <color indexed="81"/>
            <rFont val="Tahoma"/>
            <family val="2"/>
          </rPr>
          <t xml:space="preserve">
Se busca el empoderamiento de los consejos locales forestales y que sea ellos los que dirijan el tema, en compañía de los encargados de dichos consejos y de los encargados de educación ambiental</t>
        </r>
      </text>
    </comment>
    <comment ref="AI88" authorId="0" shapeId="0">
      <text>
        <r>
          <rPr>
            <b/>
            <sz val="9"/>
            <color indexed="81"/>
            <rFont val="Tahoma"/>
            <family val="2"/>
          </rPr>
          <t>Edwin Vega-Araya:</t>
        </r>
        <r>
          <rPr>
            <sz val="9"/>
            <color indexed="81"/>
            <rFont val="Tahoma"/>
            <family val="2"/>
          </rPr>
          <t xml:space="preserve">
Elaborados 7 planes de educación-comunicación en el Servicio Ecosistémico Bosque y ejecutado en un 100% al 2025</t>
        </r>
      </text>
    </comment>
    <comment ref="AJ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K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L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M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N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O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P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Q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AR88" authorId="4" shapeId="0">
      <text>
        <r>
          <rPr>
            <b/>
            <sz val="9"/>
            <color indexed="81"/>
            <rFont val="Tahoma"/>
            <family val="2"/>
          </rPr>
          <t>Magally Castro Alvarez:</t>
        </r>
        <r>
          <rPr>
            <sz val="9"/>
            <color indexed="81"/>
            <rFont val="Tahoma"/>
            <family val="2"/>
          </rPr>
          <t xml:space="preserve">
Lo máximo que se acanza es a un 10% y en acciones aisladas en cada AC </t>
        </r>
      </text>
    </comment>
    <comment ref="BV88" authorId="4" shapeId="0">
      <text>
        <r>
          <rPr>
            <b/>
            <sz val="9"/>
            <color indexed="81"/>
            <rFont val="Tahoma"/>
            <family val="2"/>
          </rPr>
          <t>Magally Castro Alvarez:</t>
        </r>
        <r>
          <rPr>
            <sz val="9"/>
            <color indexed="81"/>
            <rFont val="Tahoma"/>
            <family val="2"/>
          </rPr>
          <t xml:space="preserve">
Incluye: 
3 millones para incluir el tema en la estrategia nacional del EA
12 millones para hacer 3 planes de educación-comunicación para 2 AC con mayor influencia en el tema. 
7 millones para capacitación de comunicación para la conservación a personal y consejos locales forestales 
3 millones (1 por CL) para fortalecer 3 consejos locales forestales existentes en el sistema.</t>
        </r>
      </text>
    </comment>
    <comment ref="BW88" authorId="4" shapeId="0">
      <text>
        <r>
          <rPr>
            <b/>
            <sz val="9"/>
            <color indexed="81"/>
            <rFont val="Tahoma"/>
            <family val="2"/>
          </rPr>
          <t>Magally Castro Alvarez:</t>
        </r>
        <r>
          <rPr>
            <sz val="9"/>
            <color indexed="81"/>
            <rFont val="Tahoma"/>
            <family val="2"/>
          </rPr>
          <t xml:space="preserve">
Incluye: 
8 millones para hacer 2 planes de accion de educación - comunicaci-on. 
3 millones para conformar tres consejos locales forestales de AC  
7 millones para una capacitacion de educación-comunicacion a personal del SINAC y miembros de consejos locales. 
3.5 millones para ejecución de acciones de comunicación 
10 millones para 1 proyecto de reforetación o restauración desde los consejos locales. 
</t>
        </r>
      </text>
    </comment>
    <comment ref="BX88" authorId="4" shapeId="0">
      <text>
        <r>
          <rPr>
            <b/>
            <sz val="9"/>
            <color indexed="81"/>
            <rFont val="Tahoma"/>
            <family val="2"/>
          </rPr>
          <t>Magally Castro Alvarez:</t>
        </r>
        <r>
          <rPr>
            <sz val="9"/>
            <color indexed="81"/>
            <rFont val="Tahoma"/>
            <family val="2"/>
          </rPr>
          <t xml:space="preserve">
Incluye: 
8 millones para hacer el plan de accion de educación comunicacioón en 2 AC,
7 millones para desarrollar acciones de educación - comunicación. 
10 millones para insentivar proyectos de reforestación  o restauración desde los consejos locales forestales. 
2 millones para acciones conjuntas con el MEP para incluir el tema en el curriculum. 
6 millones para un sistema de monitoreo de impacto de las acciones 
</t>
        </r>
      </text>
    </comment>
    <comment ref="BY88" authorId="4"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BZ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A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B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CC88" authorId="4" shapeId="0">
      <text>
        <r>
          <rPr>
            <b/>
            <sz val="9"/>
            <color indexed="81"/>
            <rFont val="Tahoma"/>
            <family val="2"/>
          </rPr>
          <t>Magally Castro Alvarez:</t>
        </r>
        <r>
          <rPr>
            <sz val="9"/>
            <color indexed="81"/>
            <rFont val="Tahoma"/>
            <family val="2"/>
          </rPr>
          <t xml:space="preserve">
Incluye: 
2 millones para giras de intercambios 
10 millones proyectos reforestación o restauración promovidos por los CL forestales 
7 millones para acciones propias de las estrategias de comunicación de la conservación y uso sostenible el SE bosque 
30 millones para desarrollar una feria o congreso regional del tema 
</t>
        </r>
      </text>
    </comment>
    <comment ref="CD88" authorId="4" shapeId="0">
      <text>
        <r>
          <rPr>
            <b/>
            <sz val="9"/>
            <color indexed="81"/>
            <rFont val="Tahoma"/>
            <family val="2"/>
          </rPr>
          <t>Magally Castro Alvarez:</t>
        </r>
        <r>
          <rPr>
            <sz val="9"/>
            <color indexed="81"/>
            <rFont val="Tahoma"/>
            <family val="2"/>
          </rPr>
          <t xml:space="preserve">
Incluye: 
7 millones para desarrollar acciones de comunicación
2 millones giras de intercambios de conocimientos 
10 millones para proyectos productivos, reforestación o restauración 
</t>
        </r>
      </text>
    </comment>
    <comment ref="AW89" authorId="0" shapeId="0">
      <text>
        <r>
          <rPr>
            <b/>
            <sz val="9"/>
            <color indexed="81"/>
            <rFont val="Tahoma"/>
            <family val="2"/>
          </rPr>
          <t>Edwin Vega-Araya:</t>
        </r>
        <r>
          <rPr>
            <sz val="9"/>
            <color indexed="81"/>
            <rFont val="Tahoma"/>
            <family val="2"/>
          </rPr>
          <t xml:space="preserve">
Se publica el nuevo PNDF</t>
        </r>
      </text>
    </comment>
    <comment ref="BV89" authorId="0" shapeId="0">
      <text>
        <r>
          <rPr>
            <b/>
            <sz val="9"/>
            <color indexed="81"/>
            <rFont val="Tahoma"/>
            <family val="2"/>
          </rPr>
          <t>Edwin Vega-Araya:</t>
        </r>
        <r>
          <rPr>
            <sz val="9"/>
            <color indexed="81"/>
            <rFont val="Tahoma"/>
            <family val="2"/>
          </rPr>
          <t xml:space="preserve">
Ejecución en 3 años de $80,000 del Plan de Adquisiciones de apoyo a esta actividad</t>
        </r>
      </text>
    </comment>
    <comment ref="BV90" authorId="0" shapeId="0">
      <text>
        <r>
          <rPr>
            <b/>
            <sz val="9"/>
            <color indexed="81"/>
            <rFont val="Tahoma"/>
            <family val="2"/>
          </rPr>
          <t>Edwin Vega-Araya:</t>
        </r>
        <r>
          <rPr>
            <sz val="9"/>
            <color indexed="81"/>
            <rFont val="Tahoma"/>
            <family val="2"/>
          </rPr>
          <t xml:space="preserve">
Se estima que las actividades impliquen un gasto anual de $10.000</t>
        </r>
      </text>
    </comment>
    <comment ref="BV92" authorId="0" shapeId="0">
      <text>
        <r>
          <rPr>
            <b/>
            <sz val="9"/>
            <color indexed="81"/>
            <rFont val="Tahoma"/>
            <family val="2"/>
          </rPr>
          <t>Edwin Vega-Araya:</t>
        </r>
        <r>
          <rPr>
            <sz val="9"/>
            <color indexed="81"/>
            <rFont val="Tahoma"/>
            <family val="2"/>
          </rPr>
          <t xml:space="preserve">
No se estima costo pues se requiere una directriz del Ministro, más que en lobby político $1000/año</t>
        </r>
      </text>
    </comment>
    <comment ref="BV93" authorId="0" shapeId="0">
      <text>
        <r>
          <rPr>
            <b/>
            <sz val="9"/>
            <color indexed="81"/>
            <rFont val="Tahoma"/>
            <family val="2"/>
          </rPr>
          <t>Edwin Vega-Araya:</t>
        </r>
        <r>
          <rPr>
            <sz val="9"/>
            <color indexed="81"/>
            <rFont val="Tahoma"/>
            <family val="2"/>
          </rPr>
          <t xml:space="preserve">
4 profesionales 1b de 700.000/mes aproximadamente </t>
        </r>
      </text>
    </comment>
    <comment ref="BV94" authorId="0" shapeId="0">
      <text>
        <r>
          <rPr>
            <b/>
            <sz val="9"/>
            <color indexed="81"/>
            <rFont val="Tahoma"/>
            <family val="2"/>
          </rPr>
          <t>Edwin Vega-Araya:</t>
        </r>
        <r>
          <rPr>
            <sz val="9"/>
            <color indexed="81"/>
            <rFont val="Tahoma"/>
            <family val="2"/>
          </rPr>
          <t xml:space="preserve">
 1/2 tiempo para MGAS, a $4000/mes = $24.000</t>
        </r>
      </text>
    </comment>
    <comment ref="AI96" authorId="0" shapeId="0">
      <text>
        <r>
          <rPr>
            <b/>
            <sz val="9"/>
            <color indexed="81"/>
            <rFont val="Tahoma"/>
            <family val="2"/>
          </rPr>
          <t>Edwin Vega-Araya:</t>
        </r>
        <r>
          <rPr>
            <sz val="9"/>
            <color indexed="81"/>
            <rFont val="Tahoma"/>
            <family val="2"/>
          </rPr>
          <t xml:space="preserve">
El diseño ocurrió en 2016 con recursos de UN-REDD.  Lo que aquí se contempla es el costo de la implementación de algunas de las observaciones.</t>
        </r>
      </text>
    </comment>
    <comment ref="BV96" authorId="0" shapeId="0">
      <text>
        <r>
          <rPr>
            <b/>
            <sz val="9"/>
            <color indexed="81"/>
            <rFont val="Tahoma"/>
            <family val="2"/>
          </rPr>
          <t>Edwin Vega-Araya:</t>
        </r>
        <r>
          <rPr>
            <sz val="9"/>
            <color indexed="81"/>
            <rFont val="Tahoma"/>
            <family val="2"/>
          </rPr>
          <t xml:space="preserve">
Contempla viajes al exterior $20.000 entre viáticos y transporte + publicidad unos $10.000 + mesa negocios + contrato para desarrollar proyecto (20.000) = $55.000.  Se haría cada 2 años:en 2017, 2019 y 2021.  Estos últimos 2 años sería 15.000 (viajes) + 10.000 (publicidad) + 20.000 (contrato diseño proyectos)</t>
        </r>
      </text>
    </comment>
    <comment ref="BV98"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CE98" authorId="0" shapeId="0">
      <text>
        <r>
          <rPr>
            <b/>
            <sz val="9"/>
            <color indexed="81"/>
            <rFont val="Tahoma"/>
            <family val="2"/>
          </rPr>
          <t>Edwin Vega-Araya:</t>
        </r>
        <r>
          <rPr>
            <sz val="9"/>
            <color indexed="81"/>
            <rFont val="Tahoma"/>
            <family val="2"/>
          </rPr>
          <t xml:space="preserve">
Implica el desarrollo de 10 talleres, 5 de los indígenas a $25.000 y otros 5 con otras PIRs a $2.500 cada uno.</t>
        </r>
      </text>
    </comment>
    <comment ref="C100" authorId="0" shapeId="0">
      <text>
        <r>
          <rPr>
            <b/>
            <sz val="9"/>
            <color indexed="81"/>
            <rFont val="Tahoma"/>
            <family val="2"/>
          </rPr>
          <t>Edwin Vega-Araya:</t>
        </r>
        <r>
          <rPr>
            <sz val="9"/>
            <color indexed="81"/>
            <rFont val="Tahoma"/>
            <family val="2"/>
          </rPr>
          <t xml:space="preserve">
Además no se incluyen algunas acciones del Plan de Adquisiciones de la segunda donación, </t>
        </r>
      </text>
    </comment>
    <comment ref="C101" authorId="0" shapeId="0">
      <text>
        <r>
          <rPr>
            <b/>
            <sz val="9"/>
            <color indexed="81"/>
            <rFont val="Tahoma"/>
            <family val="2"/>
          </rPr>
          <t>Edwin Vega-Araya:</t>
        </r>
        <r>
          <rPr>
            <sz val="9"/>
            <color indexed="81"/>
            <rFont val="Tahoma"/>
            <family val="2"/>
          </rPr>
          <t xml:space="preserve">
Es más bien el posible instrumento para operacionalizar el MDB</t>
        </r>
      </text>
    </comment>
    <comment ref="C102" authorId="0" shapeId="0">
      <text>
        <r>
          <rPr>
            <b/>
            <sz val="9"/>
            <color indexed="81"/>
            <rFont val="Tahoma"/>
            <family val="2"/>
          </rPr>
          <t>Edwin Vega-Araya:</t>
        </r>
        <r>
          <rPr>
            <sz val="9"/>
            <color indexed="81"/>
            <rFont val="Tahoma"/>
            <family val="2"/>
          </rPr>
          <t xml:space="preserve">
Ya está en otras acciones y que desembocan en decreto.  Estos instrumentos (PNDFy ENB) ya los tienen.</t>
        </r>
      </text>
    </comment>
    <comment ref="B115" authorId="0" shapeId="0">
      <text>
        <r>
          <rPr>
            <b/>
            <sz val="9"/>
            <color indexed="81"/>
            <rFont val="Tahoma"/>
            <family val="2"/>
          </rPr>
          <t>Edwin Vega-Araya:</t>
        </r>
        <r>
          <rPr>
            <sz val="9"/>
            <color indexed="81"/>
            <rFont val="Tahoma"/>
            <family val="2"/>
          </rPr>
          <t xml:space="preserve">
Mencionado dentro de los factores directos, para efectos de política su tendencia motivó una recomendación importante. </t>
        </r>
      </text>
    </comment>
    <comment ref="B117" authorId="0" shapeId="0">
      <text>
        <r>
          <rPr>
            <b/>
            <sz val="9"/>
            <color indexed="81"/>
            <rFont val="Tahoma"/>
            <family val="2"/>
          </rPr>
          <t>Edwin Vega-Araya:</t>
        </r>
        <r>
          <rPr>
            <sz val="9"/>
            <color indexed="81"/>
            <rFont val="Tahoma"/>
            <family val="2"/>
          </rPr>
          <t xml:space="preserve">
En la EN se hace un análisis muy reducido de estas diferencias regionales.  Se recomienda que para la implementación se analicen a profundidad las ZPHUS para desarrollar algunas acciones particulares.</t>
        </r>
      </text>
    </comment>
    <comment ref="B120" authorId="0" shapeId="0">
      <text>
        <r>
          <rPr>
            <b/>
            <sz val="9"/>
            <color indexed="81"/>
            <rFont val="Tahoma"/>
            <family val="2"/>
          </rPr>
          <t>Edwin Vega-Araya:</t>
        </r>
        <r>
          <rPr>
            <sz val="9"/>
            <color indexed="81"/>
            <rFont val="Tahoma"/>
            <family val="2"/>
          </rPr>
          <t xml:space="preserve">
Las actividades alternativas al bosque, a saber, cultivos agrícolas y pastos para ganadería, cambian su competitividad principalmente por 2 factores, los precios de los productos finales, y la productividad -posibilidades de intensificación-.  Ambos elementos son considerados acá.</t>
        </r>
      </text>
    </comment>
    <comment ref="B124" authorId="0" shapeId="0">
      <text>
        <r>
          <rPr>
            <b/>
            <sz val="9"/>
            <color indexed="81"/>
            <rFont val="Tahoma"/>
            <family val="2"/>
          </rPr>
          <t>Edwin Vega-Araya:</t>
        </r>
        <r>
          <rPr>
            <sz val="9"/>
            <color indexed="81"/>
            <rFont val="Tahoma"/>
            <family val="2"/>
          </rPr>
          <t xml:space="preserve">
Mencionado como un factor indirecto estructural, sin embargo creo que su importancia es minimizada, en el sentido que es una variable muy sensible para las “probabilidades de deforestación” y hasta para la agrupación geo estadística de las ZPHUS.  </t>
        </r>
      </text>
    </comment>
  </commentList>
</comments>
</file>

<file path=xl/sharedStrings.xml><?xml version="1.0" encoding="utf-8"?>
<sst xmlns="http://schemas.openxmlformats.org/spreadsheetml/2006/main" count="7729" uniqueCount="776">
  <si>
    <t>RESPONSABILIDAD</t>
  </si>
  <si>
    <t>MINAE</t>
  </si>
  <si>
    <t>Secretaría</t>
  </si>
  <si>
    <t>FONAFIFO</t>
  </si>
  <si>
    <t>SINAC</t>
  </si>
  <si>
    <t>MAG</t>
  </si>
  <si>
    <t>CENIGA</t>
  </si>
  <si>
    <t>1. Promoción de sistemas productivos bajos en emisiones de carbono</t>
  </si>
  <si>
    <t xml:space="preserve">La Estrategia para la Ganadería Baja en Carbono (EDGBC) es un largo proceso de trabajo planificado y coordinado entre el Ministerio de Agricultura y Ganadería, el MINAE y el sector ganadero de Costa Rica, que REDD+ apoya  y complementa.
</t>
  </si>
  <si>
    <t>MAG-MINAE-SP</t>
  </si>
  <si>
    <t>Promoción de participación y discusión de entidades de investigación, sistematización de experiencias, elaboración de manuales, generar conocimiento de manejo genético, viveros, etc.</t>
  </si>
  <si>
    <t>Óscar</t>
  </si>
  <si>
    <t>Promover la adopción de sistemas certificación C-neutralidad y otros, reduciendo sus costos</t>
  </si>
  <si>
    <t>En el marco de la proclama de Carbono-neutralidad de Costa Rica se está desarrollando todo un sistema de certificación al que los proyectos REDD+ se integrarían.</t>
  </si>
  <si>
    <t xml:space="preserve">Desarrollo de un plan conjunto de información, capacitación,  asistencia técnica y extensión agroforestal; así como fortalecimiento de la asistencia técnica y extensión en MAG, CIAGRO y MINAE en campesinos y pequeños productores agroforestales. </t>
  </si>
  <si>
    <t>Promoción de cadenas productivas libres de deforestación</t>
  </si>
  <si>
    <t>Promoción de capacitación técnica y gerencial, estudios, elaboración de estrategias, utilización  y oportunidades de financiamiento en toda la cadena de valor de la madera y los productos forestales; y un sistema de reconocimiento de la madera proveniente de producción, aprovechamiento y comercialización sostenible.</t>
  </si>
  <si>
    <t>Promover sistemas de certificación a costos accesibles a los productores.</t>
  </si>
  <si>
    <t>Monitoreo de la expansíon ilegal de cultivos agrícolas</t>
  </si>
  <si>
    <t>Implementación de protocolos de monitoreo para terrenos mixtos (de cultivos agrícolas y forestal) .</t>
  </si>
  <si>
    <t>Ampliar la cobertura de fincas integrales</t>
  </si>
  <si>
    <t>Promover, asesorar y acompañar a campesinos y pequeños productores en la introducción y mejora de prácticas sostenibles de producción con fincas integrales con componente forestal, incluyendo la reactivación de la Comisión Agroambiental.</t>
  </si>
  <si>
    <t>2. Fortalecer programas de prevención y control de cambio de uso de la tierra e incendios</t>
  </si>
  <si>
    <t xml:space="preserve">Fortalecer programas de control comunitario de deforestación e incendios </t>
  </si>
  <si>
    <t>Campañas de concientización, organización de nuevas brigadas comunitarias, y los diferentes Comités en estrategias de manejo del fuego.</t>
  </si>
  <si>
    <t>Diego Román</t>
  </si>
  <si>
    <t>Reactivación de los Comités de Vigilancia de los Recursos Naturales y de las Asociaciones de Voluntarios y desarrollar programas de monitoreo comunitario, incluyendo el de Dualök Kimö en TI</t>
  </si>
  <si>
    <t>Mejora de capacidades para el control de incendios forestales</t>
  </si>
  <si>
    <t>Fortalecer capacidades institucionales (gestión, recursos humanos, financieros, operativos y tecnológicos), adquisición de equipo y suministros, capacitación, nuevas tecnologías.</t>
  </si>
  <si>
    <t>Fortalecer programa de control de cambio de uso del SINAC</t>
  </si>
  <si>
    <t>Apoyo a estrategia contra el uso, aprovechamiento y comercialización ilegal de recursos forestales en Costa Rica en toda la cadena productiva; capacitaciones a policía, fiscalía, TAA, juzgados, COVIRENAS, CIAGRO, etc.; incremento en operativos de control.</t>
  </si>
  <si>
    <t>Control de fraudes  y consistencia de la gestión de permisos de aprovechamiento y planes de manejo forestal, para la fiscalización; y mejora de las capacidades de AFE y el CIAGRO.</t>
  </si>
  <si>
    <t>3. Incentivos para la conservación y manejo forestal sostenible</t>
  </si>
  <si>
    <t>Ampliar la cobertura y flexibilidad del PSA</t>
  </si>
  <si>
    <t>Implementar nuevas modalidades de PSA  adaptadas a circunstancias especiales</t>
  </si>
  <si>
    <t>Ampliar PPSA (reconocimiento de otros servicios en otras leyes además de la Forestal, ampliar cobertura, revisión de montos, otras modalidades, PSA campesino, PSA indígena, PSA en ASP); y campaña para sensibilizar a la opinión pública sobre el programa.</t>
  </si>
  <si>
    <t>Ampliar el volumen de inversión del PSA existente</t>
  </si>
  <si>
    <t>Diseñar modalidades de financiamiento novedosas, desarrollar aplicaciones piloto y evaluar resultados.</t>
  </si>
  <si>
    <t>Promover el manejo forestal sostenible</t>
  </si>
  <si>
    <t>Promover estudios y prácticas de aprovechamiento de bajo impacto ambiental y actualizar planes de manejo de Areas Silvestres Protegidas para potenciar desarrollo de proyectos REDD+.</t>
  </si>
  <si>
    <t>Revisión de criterios e indicadores del MFS, entre ellas, analizar opciones para favorecer el uso de la madera caída, principalmente para beneficio de organizaciones y pequeños productores y campesinos.</t>
  </si>
  <si>
    <t xml:space="preserve">Incorporar en el Plan Nacional Desarrollo Forestal y en la Estrategia Nacional de Biodiversidad con criterios claros y consensuados sobre uso del territorio para fines diversos de conservación y manejo forestal sostenible </t>
  </si>
  <si>
    <t>Revisión de la normativa para el aprovechamiento forestal en áreas de potrero</t>
  </si>
  <si>
    <t xml:space="preserve"> Incorporar criterios de calidad de gestión silvicultural y silvopastoril en los Criterios e Indicadores para el Manejo Forestal Sostenible y en los criterios de evaluación del PSA para reforestación, manejo y Sistemas Agroforestales.</t>
  </si>
  <si>
    <t>SINAC-MAG</t>
  </si>
  <si>
    <t>Fortalecer al SINAC y regentes forestales en el seguimiento y control de los planes de aprovechamiento forestal</t>
  </si>
  <si>
    <t>Fortalecer organizaciones privadas para el MFS</t>
  </si>
  <si>
    <t>Fortalecer los CAC y otras organizaciones regionales y locales, públicas y privadas, en la provisión de material genético mejorado y apropiado para las diferentes actividades y regiones del país, y en el apoyo de productores y propietarios.</t>
  </si>
  <si>
    <t>Promover acuerdos de conservación con actores privados en áreas silvestres, reservas biológicas y parques nacionales</t>
  </si>
  <si>
    <t>Acercamiento e integración a actores privados en áreas silvestres, reservas biológicas y parques nacionales para su incorporación a REDD+.</t>
  </si>
  <si>
    <t>SINAC-FONAFIFO</t>
  </si>
  <si>
    <t>4. Restauración de paisajes y ecosistemas forestales</t>
  </si>
  <si>
    <t>Apoyar la estrategia de restauración de paisajes</t>
  </si>
  <si>
    <t>Restauración en tierras degradadas</t>
  </si>
  <si>
    <t>Contribuir con criterios de restauración de ecosistemas forestales a los planes reguladores</t>
  </si>
  <si>
    <t>Orientar esfuerzos REDD+ a áreas prioritarias de conservación de la biodiversidad, protección de cuencas y restauración de suelos incluyendo la promoción de acciones de restauración con especies amenazadas y en peligro.</t>
  </si>
  <si>
    <t>Promover la coordinación con Gobiernos Locales para desarrollar una campaña de arborización en infraestructura pública (carreteras y caminos, escuelas, etc.) con asistencia técnica y provisión de material genético (o formación de viveros)</t>
  </si>
  <si>
    <t>Explorar mecanismos de influencia para acciones REDD+  en los planes reguladores cantonales.</t>
  </si>
  <si>
    <t>Reforestación comercial en tierras degradadas</t>
  </si>
  <si>
    <t>Promoción de los mecanismos existentes de reforestación comercial en zonas prioritarias</t>
  </si>
  <si>
    <t>5. Condiciones habilitantes</t>
  </si>
  <si>
    <t>Ordenamiento forestal en territorio en zonas prioritarias (identificación de áreas/co-financiamiento)</t>
  </si>
  <si>
    <t>Apoyar en desarrollar/actualizar el inventario nacional de tierras del PNE fuera de control del MINAE, la situación de tenencia, y su respectivo catastro e inscripción.</t>
  </si>
  <si>
    <t>Mauricio Castillo</t>
  </si>
  <si>
    <t>Fomentar el uso REDD+ de las tierras del PNE que implica un estudio sobre usos actuales y vocación de uso, desarrollo de planes de manejo, búsqueda de financiamiento, etc.</t>
  </si>
  <si>
    <t>Identificar y definir priorización las zonas del territorio nacional susceptibles de generar  beneficios REDD+ y cobeneficios sociales y ambientales</t>
  </si>
  <si>
    <t>Clarificación de derechos de tenencia de la tierra (apoyar al registro nacional/financiamiento/asesoría legal/catastro</t>
  </si>
  <si>
    <t>Apoyo de clarificación de derechos, inventario y costos de tenencia de la tierra por terceros en Areas Silvestres Protegidas; y en otras zonas Áreas Bajo Regímenes Especiales (ABRE).</t>
  </si>
  <si>
    <t>Identificar necesidades de armonización de normas legales nacionales e internacionales con derechos de Pueblos Indígenas; actualización de estudios de tenencia; asistencia jurídica y catastral; y desarrollo de un plan de regularización de territorios indígenas.</t>
  </si>
  <si>
    <t>Contribuir en estudios de tenencia de la tierra en todas las zonas Areas Bajo Regimenes Especiales y arreglos institucionales requeridos para transferencia de derechos de reducción de emisiones en tierras susceptibles de implementar acciones REDD+; y brindar asesoría jurídica y catastral.</t>
  </si>
  <si>
    <t>Definir arreglos institucionales, roles y responsabilidades para la implementación de las PAAs</t>
  </si>
  <si>
    <t>Fomentar el desarrollo de políticas públicas y propiciar los arreglos institucionales que agreguen valor a los ecosistemas forestales y reduzcan la presión para cambio de uso del suelo.</t>
  </si>
  <si>
    <t>Comunicación efectiva sobre la ENREDD+ con SINAC/FONAFIFO/MAG/DCC</t>
  </si>
  <si>
    <t>Propiciar espacios de interacción efectiva entre SINAC/FONAFIFO/MAG/DCC/IMN y otras en el marco de la estrategia nacional REDD+</t>
  </si>
  <si>
    <t xml:space="preserve">Transparencia de resultados y coordinación de metodologías de monitoreo SINAC/FONAFIFO/IMN/CENIGA/INTA </t>
  </si>
  <si>
    <t>Apoyar técnica y financieramente un SNMB integrado (que sirva a todos los objetivos de monitoreo del país) y que se ajuste a los requerimientos técnico-metodológicos específicos de MRV de REDD+ y consistente con los requerimientos del IMN -inventarios nacionales de GEI-.</t>
  </si>
  <si>
    <t>Álvaro Aguilar</t>
  </si>
  <si>
    <t>Diseñar estrategia de monitoreo comunitario de bosques en áreas críticas y en territorios indígenas.</t>
  </si>
  <si>
    <t xml:space="preserve">Implementación del SIS y MIRI </t>
  </si>
  <si>
    <t>Ampliar un mecanismo de recepción y trámite sobre inconformidades, solución de conflictos, y de control y denuncia ciudadana, apropiado a Pueblos Indigenas y poblaciones agroforestales y campesinas relacionadas con REDD+; informando a la sociedad civil y capacitando  a funcionarios sobre el alcance del MIRI.</t>
  </si>
  <si>
    <t>Aplicación de un Sistema de Información de Salvaguardas (SIS) coherente con las disposiciones de la Convension Marco de las Naciones Unidas para Cambio Climatico, las entidades facilitadoras de REDD+ y debidamente socializado.</t>
  </si>
  <si>
    <t xml:space="preserve">FONAFIFO </t>
  </si>
  <si>
    <t>Abordaje de género en la ENREDD</t>
  </si>
  <si>
    <t>Desarrollar y aplicar una estrategia para transversalizar el enfoque de género y otros grupos relevantes en la estrategia REDD+.</t>
  </si>
  <si>
    <t>Proceso participativo amplio</t>
  </si>
  <si>
    <t>Desarrollar estrategias de comunicación a la sociedad sobre importancia de los bosques para la conservación de la biodiversidad y otros servicios ambientales.</t>
  </si>
  <si>
    <t>Actualizar Plan Nacional de Desarrollo Forestal con la participación de los Pueblos Indigenas conforme principios de Consentimiento Previo, Libre e Informado.</t>
  </si>
  <si>
    <t>Gilbert Canet</t>
  </si>
  <si>
    <t>Realizar/Actualizar diagnósticos y estudios sobre limitaciones de acceso de poblaciones agroforestales y campesinas y sobre generación de beneficios sociales y ambientales de REDD+ y mantener la plataforma de diálogo con las Partes Interesadas Relevantes (PIRs)</t>
  </si>
  <si>
    <t>Capacidades de la Secretaría REDD+ para facilitar la implementación del la ENREDD</t>
  </si>
  <si>
    <t>Integrar la estrategia REDD+ en otros instrumentos de planificación de Costa Rica (Estrategia Nacional de Biodiversidad, Plan de Accion Nacional de la lucha contra la desertificación y la sequía, Estrategia Nacional de Cambio Climático, Objetivos del Desarrollo Sostenible, Estrategia de restauración de paisajes rurales, etc.).</t>
  </si>
  <si>
    <t xml:space="preserve">Mejora de las capacidades operativas del SINAC y FONAFIFO para cumplir con implementación de la estrategia REDD+, actualización de estudios sobre temas requeridos para el combata a la deforestación y degradación y superar barreras al "+". </t>
  </si>
  <si>
    <t>Oficializar y aplicar el Marco de Gestión Ambiental y Social (MGAS), mecanismos de monitoreo de las implicancias sociales y ambientales de las acciones REDD+ y de los resultados del MGAS, los marcos específicos y el MIRI.</t>
  </si>
  <si>
    <t>Estrategia de financiamiento a largo plazo para la implementación de la ENREDD</t>
  </si>
  <si>
    <t>Desarrollar una estrategia de financiamiento de largo plazo para la plena implementación de la Estrategia REDD+.</t>
  </si>
  <si>
    <t>Implementar el mecanismo de distribución de beneficios</t>
  </si>
  <si>
    <t>Diseño, puesta en operación y evaluación periódica del Mecanismo de Distribución de Beneficios  con la participación de las Partes Intersadas Relevantes.</t>
  </si>
  <si>
    <t>Excluidas:</t>
  </si>
  <si>
    <t>Lo relacionado con compra de tierras en Areas Silvestres Protegidas.</t>
  </si>
  <si>
    <t>1.6.6 Fortalecer el Fondo de Biodiversidad Sostenible con recursos provenientes de REDD+.</t>
  </si>
  <si>
    <t>FBS</t>
  </si>
  <si>
    <t>MINAE, AFE, Secretaría, ONF, SINCAC</t>
  </si>
  <si>
    <t>Secretaría, AFE, ONF, MAG</t>
  </si>
  <si>
    <t>FONAFIFO, DCC</t>
  </si>
  <si>
    <t>MINAE, AFE, Secretaría, FONAFIFO, ONF, MAG</t>
  </si>
  <si>
    <t>MINAE, Secretaría, AFE, SNIT, RN-C, MAG, ADIs</t>
  </si>
  <si>
    <t>MINAE, Secretaría, AFE, ONF, SINAC</t>
  </si>
  <si>
    <t>MINAE, Secretaría, FONAFIFO, MAG, CENIGA</t>
  </si>
  <si>
    <t>MINAE, Secretaría, AFE, FONAFIFO, ONF</t>
  </si>
  <si>
    <t>Secretaría, FONAFIFO, CIAGRO</t>
  </si>
  <si>
    <t>MINAE, Secretaría, AFE, SINAC, CONAGEBIO, MAG</t>
  </si>
  <si>
    <t>MINAE, Secretaría, AFE, SINAC</t>
  </si>
  <si>
    <t>Secretaría, AFE, CONAGEBIO</t>
  </si>
  <si>
    <t>MINAE, Secretaría, AFE, ONF</t>
  </si>
  <si>
    <t>Secretaría, AFE, FONAFIFO, ONF, SINAC, CONAGEBIO</t>
  </si>
  <si>
    <t>MINAE, CIAGRO</t>
  </si>
  <si>
    <t>MINAE, AFE, FONAFIFO, MAG</t>
  </si>
  <si>
    <t>MINAE, Secretaría, AFE, ONF, MAG</t>
  </si>
  <si>
    <t>ONF, SINAC, MAG</t>
  </si>
  <si>
    <t>MINAE, Secretaría, AFE, FONAFIFO, ONF, RN-C,MAG, CENIGA</t>
  </si>
  <si>
    <t>MINAE, Secretaría, AFE, ONF, MAG, CENIGA</t>
  </si>
  <si>
    <t>Secretaría, AFE, FONAFIFO, ONF, MAG</t>
  </si>
  <si>
    <t>MINAE, Secretaría, AFE, FONAFIFO, RN-C</t>
  </si>
  <si>
    <t>MINAE, Secretaría, SINAC, CONAGEBIO, ADIs</t>
  </si>
  <si>
    <t>MINAE, Secretaría, AFE, FONAFIFO, RN-C, MAG</t>
  </si>
  <si>
    <t>Secretaría, AFE, FONAFIFO, ONF, SINAC, CONAGEBIO, MAG</t>
  </si>
  <si>
    <t>MINAE, Secretaría, SINAC, CENIGA</t>
  </si>
  <si>
    <t>MINAE, FONAFIFO, SINAC, IMN</t>
  </si>
  <si>
    <t>Secretaría, ADIs</t>
  </si>
  <si>
    <t>MINAE, Secretaría, AFE, ONF, SINAC, MAG</t>
  </si>
  <si>
    <t>MINAE, Secretaría , SINAC, CENIGA</t>
  </si>
  <si>
    <t>MINAE, Secretaría , AFE, SINAC</t>
  </si>
  <si>
    <t>MINAE, Secreataría</t>
  </si>
  <si>
    <t>MINAE, Secretaría, AFE, FONAFIFO, ONF, CONAGEBIO, ADIs</t>
  </si>
  <si>
    <t>Secretaría, SINAC, RN-C, MAG, ADIs</t>
  </si>
  <si>
    <t>Secretaría, SINAC, CONAGEBIO, DCC, CENIGA</t>
  </si>
  <si>
    <t>Secretaría, SINAC</t>
  </si>
  <si>
    <t>MINAE, Secretaría, ONF, SINAC, CONAGEBIO, MAG, ADIs, CENIGA</t>
  </si>
  <si>
    <t>Secretaría, AFE, SINAC, MAG</t>
  </si>
  <si>
    <t>MINAE, Secretaría, SINAC</t>
  </si>
  <si>
    <t>MINAE, AFE</t>
  </si>
  <si>
    <t>MINAE, Secretaría</t>
  </si>
  <si>
    <t>Otros implementadores de apoyo</t>
  </si>
  <si>
    <t>Implementador principal</t>
  </si>
  <si>
    <t>El régimen de tenencia</t>
  </si>
  <si>
    <t>La edad del bosque</t>
  </si>
  <si>
    <t>Concentración de la deforestación</t>
  </si>
  <si>
    <t>PIR</t>
  </si>
  <si>
    <t xml:space="preserve">Objetivo </t>
  </si>
  <si>
    <t>Pueblos Indígenas</t>
  </si>
  <si>
    <t>Retroalimentar el capítulo indígena de la Estrategia REDD+</t>
  </si>
  <si>
    <t>Privado Forestal (Productores e Industriales)</t>
  </si>
  <si>
    <t>Socialización de la EstrategiaParticipación en la implementación</t>
  </si>
  <si>
    <t>Sector Privado No Forestal  ( ligado al uso de la tierra)</t>
  </si>
  <si>
    <t>Sistema Financiero Costarricense</t>
  </si>
  <si>
    <t>capacitación en temas de análisis de riesgo ambiental y social</t>
  </si>
  <si>
    <t>Pequeños  y medianos productores forestales y agroforestales</t>
  </si>
  <si>
    <t>Socialización de la Estrategia y Participación en la implementación</t>
  </si>
  <si>
    <t>Gobierno (SINAC, INDER, CONAGEBIO, MAG, DCC, IMN, CENIGA, CIAGRO)</t>
  </si>
  <si>
    <t>Facilitadores de información y elaboración de reporte internacional. Implementadores de  la Estrategia desde su potestad legal</t>
  </si>
  <si>
    <t>Sector Municipal</t>
  </si>
  <si>
    <t>Socialización de la Estrategia  y  facilitar información. Contemplar aspectos de la estrategia dentro de sus instrumentos de planificación</t>
  </si>
  <si>
    <t>Academia</t>
  </si>
  <si>
    <t xml:space="preserve">Socialización de la Estrategia y generar y  facilitar información. </t>
  </si>
  <si>
    <t>ONGs ( Nacionales e Internacionales</t>
  </si>
  <si>
    <t>Otros usos del suelo</t>
  </si>
  <si>
    <t>Factor directo (FD)</t>
  </si>
  <si>
    <t>Factor indirecto (FI)</t>
  </si>
  <si>
    <t>Factor indirecto estructural (FIE)</t>
  </si>
  <si>
    <t>Factor indirecto coyuntural (FIC)</t>
  </si>
  <si>
    <t>Factores (basado en Sierra y otros, 2016 y la Estrategia Nacional versión 30/9/2015)</t>
  </si>
  <si>
    <t>Corresponde a los usos del suelo asociados a los cambios de cobertura observados</t>
  </si>
  <si>
    <t>Razones pora las que los agentes tomaron las decisiones de cambio de cobertura</t>
  </si>
  <si>
    <t>FIE</t>
  </si>
  <si>
    <t>Accesibilidad</t>
  </si>
  <si>
    <t>Casi toda la regeneración forestal natural es eventualmente convertida nuevamente a los distintos usos, y generalmente al mismo uso del suelo que dio paso a la regeneración, reforzando la proposición de que la razón principal del abandono que da paso a nuevos bosques es la recuperación de la capacidad productiva de la tierra, y por lo tanto es parte integral del sistema de uso del suelo dominante en una región. 
Sierra y otros (2016) sugiere que hay cierta "competencia" entre si reutilizar zonas en "recuperación" o utilizar bosque maduro para expandir el cultivo o el potrero y así trata de explicar la correlación entre deforestación y regeneración, pero no aporta pruebas.</t>
  </si>
  <si>
    <t>FD</t>
  </si>
  <si>
    <t>Concepto</t>
  </si>
  <si>
    <t>Explicación</t>
  </si>
  <si>
    <t>Factores de la deforestación y la degradación (definiciones)</t>
  </si>
  <si>
    <t>Factores</t>
  </si>
  <si>
    <t>Observación de los usos del suelo que sucedieron a la deforestación.  Cerca de un 70% de lo que se deforesta pasa a ser pastos, un poco más del 20% pasa a ser cultivos y casi un 10% plantaciones.  Sin embargo hay que decir que también, de la regeneración total, antes más del 65% eran pastos, más del 20% eran cultivos y cerca del 10% eran plantaciones.  Hacia el final de la serie la ganadería pierde importancia relativa y la ganan los cultivos agrícolas.</t>
  </si>
  <si>
    <t>Corresponde a otros elementos (aparte de los llamados acá factores directos) que se pueden relacionar a los cambios de cobertura observadados</t>
  </si>
  <si>
    <t>A la serie de cobertura se aplica una ecuación que aproxime su comportamiento. Esa es la tendencia de largo plazo. La diferencia entre la tendencia de largo plazo y el comportamiento observado corresponde a la variación coyuntural.  Hay un grupo de variables que para el autor inciden en la cobertura en el corto plazo (o coyunturalmente) con un rezago de 2 a 4 años.  Específicamente son los precios de los productos generados en las áreas deforestadas y la disponibilidad de mano de obra en la zona.  Se observa correlación alta entre los índices de precios y el cambio en deforestación coyuntural (con un rezago de 2 a 4 años)</t>
  </si>
  <si>
    <t>A la serie de cobertura se aplica una ecuación que aproxime su comportamiento. Esa es la tendencia de largo plazo. Hay una serie de variables que el autor asocia a este comportamiento de largo plazo.  Las variables mencionadas: presión a cambio de uso por accesibilidad; precios de los productos agropecuarios; desarrollo socioeconómico que afecta la disponibilidad de mano de obra rural; intensificación agropecuaria; marco regulatorio de la Ley Forestal; y régimen de tenencia.</t>
  </si>
  <si>
    <t>Desde los estudios para el R-PP (MINAE, 2011) se conoce que hay mayor deforestación en bosques nuevos (secundarios) que en bosques maduros.  Con la nueva serie generada se comprueba una tasa de deforestación para bosques de 15 años o menos de cerca de 4.5% mientras que de 15 a 25 años de edad del bosque es de cerca del 2%, y menos del 1% para bosques de más de 25 años.</t>
  </si>
  <si>
    <t xml:space="preserve">La deforestación no es igual en todo el territorio nacional.  Las ZPHD con mayor deforestación son: Costa y estribaciones del Pacífico Norte (con el 34% de la deforestación total del país para el periodo 1987-2001, y el 19% de la deforestación en el periodo 2001-2013); Planicie y costa Caribe Norte (con el 28% y 31% de deforestación respecto el total del país para los periodos 1987-2001 y 2001-2013 respectivamente); y la Cordillera Sur (con 6% y 14%).   La intensidad de los diferentes factores indirectos analizados más adelante motivan estas diferenecias.  </t>
  </si>
  <si>
    <t>Otros fenómenos observados (OFD)</t>
  </si>
  <si>
    <t>OFD</t>
  </si>
  <si>
    <t>Competitividad de las actividades económicas alternativas a la conservación</t>
  </si>
  <si>
    <t xml:space="preserve">Se demuestra con el comportamiento de las diferencias en crecimiento de la población rural y la población urbana; de la Población Económicamente Activa del sector primario versus la del sector secundario y terciario; y con índices de precios de los diferentes productos agropecuarios que había una tendencia a deprimirse la actividad agropecuaria desde los años de 1980s, que apoyan la tendencia de largo plazo de la deforestación (a la baja).  Y que hay una recuperación (de los precios especialmente, que implica una recuperación en la producción de los mismos y que explicaría también la curva hacia arriba de la tendencia de largo plazo de la deforestación.   </t>
  </si>
  <si>
    <t>Política pública que favoreció la migración rural-urbana</t>
  </si>
  <si>
    <t xml:space="preserve">La política Estatal que mejoró la educación, salud, electrificación, y la creación de zonas francas motiva un comportamiento sistemático de migración de zonas rurales a zonas urbanas que contribuye a la reducción de demanda por zonas de cultivos y a la intensificación de las actividades rurales. </t>
  </si>
  <si>
    <t>Intencificación agropecuaria</t>
  </si>
  <si>
    <t>Se hace un anális de la productividad agrícola y ganadera y se observa que la misma aumentó y solo hacia el final de la serie hay un "agotamiento" de la intensificación, que puede apoyar el repunte en la tendencia de largo plazo al final de la serie.  Esta intencificación agropecuaria es promovida por instrumentos de política económica y por la escaces relativa de mano de obra.</t>
  </si>
  <si>
    <t>Disponibilidad de mano de obra rural</t>
  </si>
  <si>
    <t>FIC</t>
  </si>
  <si>
    <t>También en el corto plazo la disponibilidad de mano de obra puede explicar el componente coyuntural de la serie.  Solo en las regiones Huetar Norte y Huetar Atlántica, en que hay una reserva de mano de obra rural debido a la migración extrangera (principalmente de Nicaragua), la deforestación se redujo menos que en el resto del país.</t>
  </si>
  <si>
    <t>Dinámica regeneración-deforestación</t>
  </si>
  <si>
    <t>Precios de productos generados en las áreas deforestadas</t>
  </si>
  <si>
    <t>Además de las tendencias generales de precios y productividad mencionadas en el factor de “Baja competitividad respecto a las alternativas”, y como representación del papel que juegan los “ciclos de precios de cultivos de la zona”, se hace un análisis de correlación entre los índeces de precios (tras un resago de 2-4 años) y el cambio en deforestación coyuntural. El mismo se relaciona con los precios leche, carne y de ciertos cultivos agrícolas y se demuestra que también condicionan o explican la variable al aplicar un rezago en la reacción de 2-4 años.</t>
  </si>
  <si>
    <t>En los primeros años de la serie la deforestación (para convertir a pastos y a cultivos) ocurrió en zonas de media (a 10 km de área urbana o infraestructura) y baja (30 km o más) accesibilidad.  En los últimos años ocurre lo contrario, la mayor deforestación ocurre en zonas de alta accesibilidad.
Sierra y otros (2016) utiliza eso y una asociación entre rentablidad y accesibilidad para decir que posiblemente la ganadería de carne explica los primeros años, pero que es ganadería doble propósito o de leche y culitvos para exportación los que generan el cambio en los últimos años de la serie. 
Parece indicar que actualmente hay mucho mayor riesgo de deforestación en zonas con 10 o menos km de distancia a centros urbanos.  También dichos suelos son muy susceptibles a la dinámica “regeneración-deforestación”.</t>
  </si>
  <si>
    <t>Barreras al "+" (basado en  la Estrategia Nacional versión 30/9/2015 y ERPD versión 11/04/2016)</t>
  </si>
  <si>
    <t>Barreras</t>
  </si>
  <si>
    <t>Comentarios</t>
  </si>
  <si>
    <t>Otras actividades económicas muestran rentabilidad por hectárea superior a la conservación con algún aprovechamiento turístico o de manejo forestal que permita ingresos por madera.</t>
  </si>
  <si>
    <t>Falta de recursos para resolver tenencia y clarificación de derechos</t>
  </si>
  <si>
    <t>Si hay problemas de tenencia es más dificil accesar a instrumentos nacionales e internacionales para el reconocimiento de Reducción de Emisiones.  La falta de consolidación de ASP.</t>
  </si>
  <si>
    <t>Falta control de los Incendios Forestales</t>
  </si>
  <si>
    <t>Ineficacia de mecanismos para control de tala ilegal</t>
  </si>
  <si>
    <t>El incendio forestal no cambia el uso del suelo, salvo que deliberadamente se use como parte de las herramientas para ese fin.  En Costa Rica, desde 1998 a 2014 se incendiaron un promedio de 3.300 ha/año de Bosque, 9.700 ha/año de Bosque Secundario y 16.400 ha/año de pasturas.  Del 100% del área quemada en el periodo 1998-2014, el 87% es fuera de ASP y solamente el 13% dentro de ASP. Los registros de causas de los incendios se llevan desde 2007 y de los incendios entres 2007 a 2014 el 24% de los incendios fue causado por quemas en pastizales, un 21% por vandalismo, un 19% por quemas agropecuarias y un 11% por actividades de caza.  La mayoría de los incendios forestales son causados por accidentes fuera de los bosques.</t>
  </si>
  <si>
    <t>Se estima la tala ilegal en Costa Rica en un 36%, entendida como el porcentaje del volumen de madera proveniente de la Tala Ilegal, unos 200.000 m3 por año.  En un 50% responsabilizan al Estado por la tala ilegal, más que la responsabilidad que se atribuye al sector privado (en un 22% a los consumidores y mercado y 22% a los propietarios)</t>
  </si>
  <si>
    <t>Falta de flexibilidad de mecanismos existentes para aplicar en zonas especiales</t>
  </si>
  <si>
    <t>Otros problemas de gobernanza</t>
  </si>
  <si>
    <t>PT</t>
  </si>
  <si>
    <t>Código</t>
  </si>
  <si>
    <t>Edad</t>
  </si>
  <si>
    <t>Reg-def</t>
  </si>
  <si>
    <t>Conc</t>
  </si>
  <si>
    <t>Acc</t>
  </si>
  <si>
    <t>MO</t>
  </si>
  <si>
    <t>RT</t>
  </si>
  <si>
    <t>C-Op</t>
  </si>
  <si>
    <t>I-Agp</t>
  </si>
  <si>
    <t>Código del Factor de deforestación o Barrera al "+" atendido</t>
  </si>
  <si>
    <t>PLAN DE IMPLEMENTACIÓN DE LA ESTRATEGIA NACIONAL REDD+CR</t>
  </si>
  <si>
    <t>Clasificación</t>
  </si>
  <si>
    <t>Falta de coordinación, definición de competencias institucionales, concistencia, adaptación de diferentes marcos, etc.</t>
  </si>
  <si>
    <t>En territorios indígenas, ellos requieren que se permita el uso cultural de los bosques que es propio de los territorios indígenas.  Adicionalmente es problemática en estos territorios, la presencia de población no indígena que está en posesión de tierras en territorios indígenas.
No hay alcance suficiente de los mecanismos existentes para incorporar más territorio a acciones REDD+</t>
  </si>
  <si>
    <t>G-C</t>
  </si>
  <si>
    <t>G-P</t>
  </si>
  <si>
    <t>G-P, G-C</t>
  </si>
  <si>
    <t>G-P, MO</t>
  </si>
  <si>
    <t>G-P, C-Op</t>
  </si>
  <si>
    <t>G-C, G-P</t>
  </si>
  <si>
    <t>G-P, RT</t>
  </si>
  <si>
    <t>PT, RT</t>
  </si>
  <si>
    <t>G-P, MO, I-Agp</t>
  </si>
  <si>
    <t>Para toda la serie, cerca de un 1.4% de las tierras privadas se deforesta, cerca de un 0.9% de las ASP (excluyendo PN y RB) se deforesta, cerca de un 0.3% de los territorios indígenas se deforesta y un 0.1% de los PN y RB se deforestan.  Se observa una mayor probabilidad de deforestación entonces en tierras privadas.  En este caso si hay cambio de tierras privadas a tierras públicas, se esperaría una reducción en la deforestacíón.
Así se resalta más el papel que tuvo la política ASP de CR en la reducción de la deforestación a partir de los años 1970s y de que dado que ya no se crean nuevas ASP como antes, entonces es una “tendencia” que ya no actuará en nuestro favor para REDD+.</t>
  </si>
  <si>
    <t>Deficiencia institucional en control</t>
  </si>
  <si>
    <t>A pesar del éxito en regeneración a partir del marco regulatorio de la Ley Forestal de 1996, no lo ha sido tanto en deforestación bruta, a pesar de los esfuerzos realizados a partir de esa legislación, y en 2002 con algunas reformas en SINAC.</t>
  </si>
  <si>
    <t>FACTORES INDIRECTOS Y BARRERAS</t>
  </si>
  <si>
    <t>G-P, MO, C-Op</t>
  </si>
  <si>
    <t>Código del Factor directo</t>
  </si>
  <si>
    <t>Reg-def, Conc</t>
  </si>
  <si>
    <t>OU</t>
  </si>
  <si>
    <t>Con, Edad, Acc</t>
  </si>
  <si>
    <t>FACTORES DIRECTOS DE DEF.</t>
  </si>
  <si>
    <t>Conservación y restauración de ecosistemas forestales en áreas urbanas</t>
  </si>
  <si>
    <t>Apoyo a la campaña de arborización urbana</t>
  </si>
  <si>
    <t>PIRs INVOLUCRADAS:</t>
  </si>
  <si>
    <t>VINCULACIÓN</t>
  </si>
  <si>
    <t>Acciones de establecimiento en el campo</t>
  </si>
  <si>
    <t>Finca promedio 10 ha en Cultivos Anuales para SAF</t>
  </si>
  <si>
    <t>Finca promedio 20 ha de pastizales para SSP</t>
  </si>
  <si>
    <t>Finca promedio de 20 ha en sabanas de pastos naturales para SAF</t>
  </si>
  <si>
    <t>Fincas promedio 50 ha para Conservación o Regeneración Natural Inducida</t>
  </si>
  <si>
    <t>Infraestructura pública para regeneración arbórea</t>
  </si>
  <si>
    <t>Fincas públicas</t>
  </si>
  <si>
    <t>Todas</t>
  </si>
  <si>
    <t>GENERALIDADES DE LA IMPLEMENTACIÓN</t>
  </si>
  <si>
    <t>COSTOS Y FINANCIAMIENTO</t>
  </si>
  <si>
    <t>Comentarios de Implementación</t>
  </si>
  <si>
    <t>Dónde ha estado históricamente o quien debería liderar (Implementador)</t>
  </si>
  <si>
    <t>Persona que coordina o se responsabiliza</t>
  </si>
  <si>
    <t>Implementadores y su nivel de vinculación</t>
  </si>
  <si>
    <t>Impacto directo (D) o indirecto (I) s/RE</t>
  </si>
  <si>
    <t>Área de influencia</t>
  </si>
  <si>
    <t>Indicador de resultado</t>
  </si>
  <si>
    <t>Situación inicial del Indicador (2016 o 2015)</t>
  </si>
  <si>
    <t>Evolución del indicador SIN recursos REDD+</t>
  </si>
  <si>
    <t>Evolución del Indicador con Recursos REDD+</t>
  </si>
  <si>
    <t>Capítulo del Plan Financiero</t>
  </si>
  <si>
    <t>Nivel del Plan Financiero</t>
  </si>
  <si>
    <t xml:space="preserve">Es una actividad nueva o existente </t>
  </si>
  <si>
    <t>Costo Total en 2015 (situación inicial)</t>
  </si>
  <si>
    <t>Costo SIN Recursos REDD+</t>
  </si>
  <si>
    <t>Financiamiento SIN Recursos REDD+ por fuente</t>
  </si>
  <si>
    <t>Costo CON Recursos de REDD+</t>
  </si>
  <si>
    <t>Costo incremental = diferencia entre costo "con recursos de REDD+" y costo "sin recursos de REDD+"</t>
  </si>
  <si>
    <t>Financiamiento Incremental CON recursos de REDD+ por fuente</t>
  </si>
  <si>
    <t>AFE</t>
  </si>
  <si>
    <t>ONF</t>
  </si>
  <si>
    <t>CIAGRO</t>
  </si>
  <si>
    <t>SNIT</t>
  </si>
  <si>
    <t>RN-C</t>
  </si>
  <si>
    <t>CONAGEBIO</t>
  </si>
  <si>
    <t>DCC</t>
  </si>
  <si>
    <t>ADI</t>
  </si>
  <si>
    <t>IMN</t>
  </si>
  <si>
    <t>2026-2030</t>
  </si>
  <si>
    <t>2031-2050</t>
  </si>
  <si>
    <t>SUMA TOTAL</t>
  </si>
  <si>
    <t>Presupuesto Estatal (indicar % del total)</t>
  </si>
  <si>
    <t>Observaciones sobre presupuesto Estatal (tasa crecimiento anual u otra nota)</t>
  </si>
  <si>
    <t>Otras fuentes ya contratadas (indicar %)</t>
  </si>
  <si>
    <t>Observaciones sobre otras fuentes ya contratadas (plazo, etc.)</t>
  </si>
  <si>
    <t>Total Costo Incremental</t>
  </si>
  <si>
    <t>Notas adicionales sobre Presupuesto Estatal (si aplicara)</t>
  </si>
  <si>
    <t>Fondos preparación II BM año 1</t>
  </si>
  <si>
    <t>Observaciones sobre los fondos de la preparación (Componente y Actividad en que se localiza)</t>
  </si>
  <si>
    <t>Fondos XXX</t>
  </si>
  <si>
    <t>Observaciones sobre los fondos XXX</t>
  </si>
  <si>
    <t>Fondos ZZ</t>
  </si>
  <si>
    <t>Observaciones sobre los fondos ZZ</t>
  </si>
  <si>
    <t>Sin Financiamiento todavía</t>
  </si>
  <si>
    <t>Observaciones a lo que no cuenta con financiamiento</t>
  </si>
  <si>
    <t>IP</t>
  </si>
  <si>
    <t>D</t>
  </si>
  <si>
    <t xml:space="preserve">Areas Silvestres Protegidas </t>
  </si>
  <si>
    <t xml:space="preserve">Organos colegiados posicionados en el tema de manejo forestal  </t>
  </si>
  <si>
    <t>Program Management</t>
  </si>
  <si>
    <t>L3 - Subprograms (w/plans)</t>
  </si>
  <si>
    <t>N</t>
  </si>
  <si>
    <t>IA</t>
  </si>
  <si>
    <t>I</t>
  </si>
  <si>
    <t>Areas Bajo Regimenes Especiales</t>
  </si>
  <si>
    <t>Número de municipalidades que tienen un plan de reforestación en áreas urbanas elaborado y en ejecución (dentro de corredores biológicos)</t>
  </si>
  <si>
    <t>Program management</t>
  </si>
  <si>
    <t>Todas las áreas</t>
  </si>
  <si>
    <t>11.400.000</t>
  </si>
  <si>
    <t>L1 - REDD+ Program Admin and Mgt</t>
  </si>
  <si>
    <t>Número de campañas ejecutadas</t>
  </si>
  <si>
    <t>E</t>
  </si>
  <si>
    <t>Se hace contratación administrativa bajo contrato marco que permite un incremento de hasta un 50% a partir del segundo año de cada contrato.</t>
  </si>
  <si>
    <t xml:space="preserve">Número de brigadas bajo seguimiento </t>
  </si>
  <si>
    <t>4.a.5</t>
  </si>
  <si>
    <t>Cantidad de tierras transferidas a nombre de MINAE -ha-</t>
  </si>
  <si>
    <t>2.b.1 / 2.b.4</t>
  </si>
  <si>
    <t>Número de permisos de uso aprobados en tierras PNE</t>
  </si>
  <si>
    <t>Consultant &amp; Studies</t>
  </si>
  <si>
    <t>Cantidad de estudios de tenencia realizados</t>
  </si>
  <si>
    <t>2.b.3</t>
  </si>
  <si>
    <t>Cantidad de estudios de tenencia realizados en otras zonas ABRE</t>
  </si>
  <si>
    <t xml:space="preserve">Consultant &amp; Studies </t>
  </si>
  <si>
    <t>1.a.1 / 4.a.2</t>
  </si>
  <si>
    <t>Monto colocado en créditos para sector agroforestal que usan el árbol como medio de pago</t>
  </si>
  <si>
    <t>2.b.2</t>
  </si>
  <si>
    <t>Cantidad de modalidades novedosas implementadas</t>
  </si>
  <si>
    <t xml:space="preserve">Tierras Privadas fuera de areas protegidas </t>
  </si>
  <si>
    <t>Firmas espectrales desarrolladas para Piña y Palma y Banano</t>
  </si>
  <si>
    <t>Acuerdos de cooperación de memorias de reunión ejecutados</t>
  </si>
  <si>
    <t>Areas Indigenas</t>
  </si>
  <si>
    <t>SIS operando</t>
  </si>
  <si>
    <t>Estrategia implementándose</t>
  </si>
  <si>
    <t>1.b.1</t>
  </si>
  <si>
    <t>Número de actividades realizadas para promover la participación de las PIRs</t>
  </si>
  <si>
    <t>1.b.4 / 1.b.5</t>
  </si>
  <si>
    <t>REDD+ incoroprada en ECC, EB, ELD, ERPR, ODS</t>
  </si>
  <si>
    <t>L2 - Policies and Strategies REDD+ and Land-use</t>
  </si>
  <si>
    <t>Secretaría de REDD+ operando</t>
  </si>
  <si>
    <t>1.a.2</t>
  </si>
  <si>
    <t>Estrategia diseñada y en operación</t>
  </si>
  <si>
    <t>Mecanismo diseñado</t>
  </si>
  <si>
    <t>NIVEL</t>
  </si>
  <si>
    <t>L3</t>
  </si>
  <si>
    <t>L1</t>
  </si>
  <si>
    <t>L2</t>
  </si>
  <si>
    <t>Revisión de criterios e indicadores para el manejo forestal del bosque primario con el SINAC</t>
  </si>
  <si>
    <t>Aplicación de un Sistema de Información de Salvaguardas (SIS) coherente con las disposiciones de la Convención Marco de las Naciones Unidas para Cambio Climatico, las entidades facilitadoras de REDD+ y debidamente socializado.</t>
  </si>
  <si>
    <t>1.b.3 / 2.b.5</t>
  </si>
  <si>
    <t>Reactivación de los Comités de Vigilancia de los Recursos Naturales (COVIRENA) y los inspectores ambientales adhonorem, incluyendo el fortalecimiento de capacidades de grupos organizados que participan en la protección de los Recuros Naturales, tales como los Dualök Kimö en Territorios Indígenas.</t>
  </si>
  <si>
    <t xml:space="preserve">I </t>
  </si>
  <si>
    <t>2.b.5</t>
  </si>
  <si>
    <t>4.a.7</t>
  </si>
  <si>
    <t>Apoyo a la estrategia contra el uso, aprovechamiento y comercialización ilegal de recursos forestales en Costa Rica, en toda la cadena productiva y comercial; mejorando capacidades de gestión a través de la capacitación a los actores relevantes como la policía, fiscalía, TAA, juzgados, comités COVIRENA, entre otros; así como la facilitación de medios para la mejora de los instrumentos legales, técnicos y logísticos, requeridos para el control forestal. Entre estos la generación de reformas legales, mejora de los registros, promoción de la legalidad y asignación de recursos operativos para el control.</t>
  </si>
  <si>
    <t>Mejora de las capacidades de los entes fiscalizadores (AFE y el CIAgro) del proceso de trámite, ejecución y seguimiento de las autorizaciones de aprovechamiento maderable.</t>
  </si>
  <si>
    <t>Actualizar planes de manejo de Areas Silvestres Protegidas, promoviendo estudios y prácticas de aprovechamiento de bajo impacto ambiental  para potenciar desarrollo de proyectos REDD+.</t>
  </si>
  <si>
    <t>N° de planes de manejo actualizados</t>
  </si>
  <si>
    <t>2.b.6</t>
  </si>
  <si>
    <t>Porcentaje de inspectores adhonorem capacitados, ejerciendo labores de vigilancia y control</t>
  </si>
  <si>
    <t xml:space="preserve">Disminución en porcentaje del volumen anual de madera ilegal procesada </t>
  </si>
  <si>
    <t>Porcentaje de aprovechamientos con regencia supervisados</t>
  </si>
  <si>
    <t>Mauricio Chacón</t>
  </si>
  <si>
    <t xml:space="preserve">Complemento del Fondo de Garantía propuesto como eje de la La Estrategia para la Ganadería Baja en Carbono (EDGBC).
</t>
  </si>
  <si>
    <t>Respaldado en las RE de las acciones en las fincas</t>
  </si>
  <si>
    <t>El monto total para el fondo de garantías para que los ganaderos accedan a créditos para realizar las acciones en el campo propuestas en la ENGBC es de $40,000,000, de los que se espera que REDD+ aporte $10,000,000 respaldados en que eventualmente se pueda negociar el Carbono de al menos 300,000 ha que  están como bosque en las fincas ganaderas; o los árboles adicionales cuantificados en sistemas SAF.</t>
  </si>
  <si>
    <t>Número de capacitaciones a funcionarios (MAG, MINAE, CIAGRO) y de organizaciones del Programa de Ganadería Baja en Carbono</t>
  </si>
  <si>
    <t>1.b.2</t>
  </si>
  <si>
    <t>Las capacitaciones es a funcionarios del MAG, de MINAE y de CIAGRO, además a organizaciones que se identifique que apoyan al Programa de Ganadería Baja en Carbono</t>
  </si>
  <si>
    <t>Promover, asesorar y acompañar a campesinos y pequeños productores en la introducción y mejora de prácticas sostenibles de producción con fincas integrales con componente forestal-</t>
  </si>
  <si>
    <t>Número de Fincas Integrales incorporadas el Pan Piloto Nacional</t>
  </si>
  <si>
    <t>Se consideran los costos de integrar fincas adicionales al PPN.</t>
  </si>
  <si>
    <t>NAMA Ganadería</t>
  </si>
  <si>
    <t>Porcentaje de incremento anual de presupuesto para compras</t>
  </si>
  <si>
    <t>Porcentaje de ejecución de los planes de educación-comunicación en el año.</t>
  </si>
  <si>
    <t xml:space="preserve">Fondos del proyecto MAPCOBIO que puede ayudar a sistematizar </t>
  </si>
  <si>
    <t>Número de modelos de gobernanza y monitoreo en territorios indigenas desarrollados y reconocidos</t>
  </si>
  <si>
    <t>MAPCOBIO</t>
  </si>
  <si>
    <t>INFORMACIÓN RECIBIDA:</t>
  </si>
  <si>
    <t>Promover la generación e implementación de campañas para la prevención de incendios forestales</t>
  </si>
  <si>
    <t>Seguimiento y promoción de brigadas de bomberos forestales voluntarios</t>
  </si>
  <si>
    <t>Compra de tierras en Areas Silvestres Protegidas.</t>
  </si>
  <si>
    <t>Elena Herrera</t>
  </si>
  <si>
    <t>Magally Castro</t>
  </si>
  <si>
    <t>Carlos Varela</t>
  </si>
  <si>
    <t>Héctor Arce</t>
  </si>
  <si>
    <t>Óscar Zúñiga</t>
  </si>
  <si>
    <t>Felipe de León</t>
  </si>
  <si>
    <t>Óscar-Elena Herrera</t>
  </si>
  <si>
    <t>Ricardo Ulate</t>
  </si>
  <si>
    <t>Ricardo Granados</t>
  </si>
  <si>
    <t>Gerencia de Ganadería</t>
  </si>
  <si>
    <t>Coordinador Secretaría</t>
  </si>
  <si>
    <t>Gerente PCG</t>
  </si>
  <si>
    <t>Gerencia CUSBSE</t>
  </si>
  <si>
    <t>Gerente IRT</t>
  </si>
  <si>
    <t>Gerencia PPC</t>
  </si>
  <si>
    <t>Grupo superior / Subgrupos / Actividades  (ORIGINALES)</t>
  </si>
  <si>
    <t>Jefe Control de Incendios</t>
  </si>
  <si>
    <t>Director PSA</t>
  </si>
  <si>
    <t>Número de ha bajo PSA del PPSA de FONAFIFO</t>
  </si>
  <si>
    <t>Director Fomento Forestal</t>
  </si>
  <si>
    <t>CENIGA-FONAFIFO</t>
  </si>
  <si>
    <t>Óscar Sánchez / Zoila R.</t>
  </si>
  <si>
    <t>¿Ricardo Ulate?</t>
  </si>
  <si>
    <t>Grupo superior / Subgrupos / Actividades (FINALES)</t>
  </si>
  <si>
    <t>Responsable directo (puesto)</t>
  </si>
  <si>
    <t>Responsable directo (persona)</t>
  </si>
  <si>
    <t>Porcentaje de los incendios atendidos adecuadamente en nivel 1</t>
  </si>
  <si>
    <t>Diseñar e implementar un sistema de certificación de productos libres de deforestación</t>
  </si>
  <si>
    <t>4.a.4</t>
  </si>
  <si>
    <t>Sistema de Monitoreo diseñado (fase B) que permite reportar todas las actividades REDD+ (y AFOLU)</t>
  </si>
  <si>
    <t>L3 - Subprograms (in planning)</t>
  </si>
  <si>
    <t>Total PE $ 75,000/año</t>
  </si>
  <si>
    <t>Total Otras Fuentes: 200,000 FAO +200,000 BID +20,000 MACOBIO +30,000 AMAS +30,000 CTCN = $480,000</t>
  </si>
  <si>
    <t>4.a.5 / 4.a.6</t>
  </si>
  <si>
    <t>Ana Rita Chacón</t>
  </si>
  <si>
    <t>Reporte BUR con Anexo de REDD+</t>
  </si>
  <si>
    <t>Total Otras Fuentes: 200,000 FAO +200,000 BID +20,000 MACOBIO +30,000 AMAS +30,000 CTCN = $480,001</t>
  </si>
  <si>
    <t>1.a.2 / 4.a.2</t>
  </si>
  <si>
    <t>Coordinador</t>
  </si>
  <si>
    <t>Departamento de Climatología e Investigaciones Aplicadas</t>
  </si>
  <si>
    <t>Reporte de MRV de REDD+ en informe BUR de 2018 (Fase A del SNMB) y otros apoyos (Fase C)</t>
  </si>
  <si>
    <t>Sonia</t>
  </si>
  <si>
    <t xml:space="preserve">Capacitaciones de Extensión derivadas del Manual </t>
  </si>
  <si>
    <t>Giros de PPSA de FONAFIFO por Ley a SINAC</t>
  </si>
  <si>
    <t xml:space="preserve">Promoción de capacitación técnica y gerencial, estudios, elaboración de estrategias, utilización  y oportunidades de financiamiento en toda la cadena de valor de la madera y los productos forestales; </t>
  </si>
  <si>
    <t>ONF-Secretaría</t>
  </si>
  <si>
    <t>Modelos de negocio y estudios realizados</t>
  </si>
  <si>
    <t xml:space="preserve">Relación: m3 de madera de permisos / m3 de madera en industria </t>
  </si>
  <si>
    <t>4.a.6</t>
  </si>
  <si>
    <t>Un sistema de reconocimiento de la madera proveniente de producción, aprovechamiento y comercialización sostenible.</t>
  </si>
  <si>
    <t>Número de estudios para certificación realizados en principales cultivos de CR</t>
  </si>
  <si>
    <t>Óscar / German Rodríguez Coffre</t>
  </si>
  <si>
    <t>Decreto publicado con los nuevos estándares regionales para el MFS</t>
  </si>
  <si>
    <t>Program Management/Cosnulting &amp; Studies</t>
  </si>
  <si>
    <t>Número de solicitudes de productores tramitadas</t>
  </si>
  <si>
    <t xml:space="preserve"> Incorporar criterios de calidad de gestión silvicultural y silvopastoril en  los criterios de evaluación del PSA para reforestación y SAF (sistemas Agroforestales).</t>
  </si>
  <si>
    <t>Decreto publicado con criterios de evaluación del PSA</t>
  </si>
  <si>
    <t>Óscar / Sonia</t>
  </si>
  <si>
    <t>Magaly</t>
  </si>
  <si>
    <t>% de ejecución de una Estrategia de SINAC para promover PSA y REDD+ en ASP que conectan los Corredores Biológicos</t>
  </si>
  <si>
    <t>Óscar / Mariano</t>
  </si>
  <si>
    <t>Fondos del GEF y otros adicionales manejado a través de Pequeñas Donaciones PNUD</t>
  </si>
  <si>
    <t>Orientar esfuerzos REDD+ a áreas prioritarias de protección de cuencas y restauración de suelos incluyendo la promoción de acciones de restauración y conservación de la biodiversidad considerando especies amenazadas y en peligro.</t>
  </si>
  <si>
    <t>Óscar / Héctor</t>
  </si>
  <si>
    <t>N. de ha bajo PSA modalidad de reforestación</t>
  </si>
  <si>
    <t>Fortalecer asistencia técnica del MAG para estos sistemas</t>
  </si>
  <si>
    <t>Incorporación del componente de Registro REDD+ al Sistema Nacional de Métricas de Cambio Climático (SINAMECC)</t>
  </si>
  <si>
    <t>Módulo de Registro de REDD+ incorporado y operando en el Sistemas Nacional de Métrica del Cambio Climático</t>
  </si>
  <si>
    <t>2.b.8</t>
  </si>
  <si>
    <t>Gerencia de CUSBE</t>
  </si>
  <si>
    <t>DCC-Secretaría</t>
  </si>
  <si>
    <t>Dirección</t>
  </si>
  <si>
    <t>Andrea Meza</t>
  </si>
  <si>
    <t>Oficializar y aplicar el Marco de Gestión Ambiental y Social (MGAS), mecanismos de monitoreo de las implicancias sociales y ambientales de las acciones REDD+ y de los resultados del MGAS y los marcos específicos</t>
  </si>
  <si>
    <t>MGAS monitoreado</t>
  </si>
  <si>
    <t xml:space="preserve">MIRI para REDD+ operando </t>
  </si>
  <si>
    <t xml:space="preserve">1.a.2 </t>
  </si>
  <si>
    <t>Elaborar y Desarrollar estrategias de SENSIBILIZACIÓN Y comunicación a la sociedad sobre importancia de los bosques para la conservación de la biodiversidad y otros servicios ambientales.</t>
  </si>
  <si>
    <t>Número de productores beneficiados</t>
  </si>
  <si>
    <t>Revisión y actualización de criterios e indicadores del MFS acorde con los tipos de bosque del país</t>
  </si>
  <si>
    <t>Promover el uso de madera caída en bosque en beneficio de organizaciones y pequeños productores y campesinos.</t>
  </si>
  <si>
    <t>MINAE, AFE, CONAGEBIO, ADIs, Secretaría, FONAFIFO, MAG, CENIGA</t>
  </si>
  <si>
    <t>Desarrollar labores de extensión forestal dentro de SINAC</t>
  </si>
  <si>
    <t>Número de extensionistas contratados en SINAC</t>
  </si>
  <si>
    <t>Gerencia  PPC</t>
  </si>
  <si>
    <t>MINAE, MAG, Secretaría</t>
  </si>
  <si>
    <t>MINAE, AFE, Secretaría, ONF, SINAC</t>
  </si>
  <si>
    <t>Capítulo Indígena finalizado e incorporado en PNDF</t>
  </si>
  <si>
    <t>Estudio exploratorio finalizado</t>
  </si>
  <si>
    <t>2.b.9 / 3. .1</t>
  </si>
  <si>
    <t>Modelo de priorización para PPSA y REDD+</t>
  </si>
  <si>
    <t>Actividades de capacitación a organizaciones realizadas</t>
  </si>
  <si>
    <t>1.a.2 / 2.B.1 / 2.B.4</t>
  </si>
  <si>
    <t>Implementar sistemas silvopastoriles en apoyo a la estrategia ganadera baja en carbono y SAF en terrenos de cultivos agrícolas</t>
  </si>
  <si>
    <t xml:space="preserve"> Fortalecer rol de CRA, CORAC y COLAC, y capacitación a funcionarios de SINAC, MINAE, CIAGRO en estrategias de manejo forestal. </t>
  </si>
  <si>
    <t>MAG - FONAFIFO</t>
  </si>
  <si>
    <t>MAG - SINAC</t>
  </si>
  <si>
    <t>SINAC-Secretaría</t>
  </si>
  <si>
    <t>CENIGA-IMN-SINAC</t>
  </si>
  <si>
    <t>CENIGA-Secretaría</t>
  </si>
  <si>
    <t>TOTAL</t>
  </si>
  <si>
    <t>Institución</t>
  </si>
  <si>
    <t>Convenios y otros</t>
  </si>
  <si>
    <t>Normalmente se consiguen fondos externos</t>
  </si>
  <si>
    <t>TOTALES</t>
  </si>
  <si>
    <t xml:space="preserve">Grupo superior </t>
  </si>
  <si>
    <t>OJO SOLO PRESUPUESTO ORDINARIO</t>
  </si>
  <si>
    <t>OJO OTRAS FUENTES DE FINANCIAMIENTO COMO CONVENIOS, COOPERACIÓN INTERNACIONAL, ETC.</t>
  </si>
  <si>
    <t>Fondos de preparación del Banco Mundial</t>
  </si>
  <si>
    <t>FUENTE DE FINANCIAMIENTO</t>
  </si>
  <si>
    <t>Presupuesto Ordinario de la República</t>
  </si>
  <si>
    <t>Otras fuentes ya negociadas (convenios, cooperación internacional y nacional, etc.</t>
  </si>
  <si>
    <t>Número de hectáreas en fincas ganaderas incorporadas con sistemas Silvopastoriles dentro del sistema de Crédito del Fondo de Garantía para la Ganadería baja en C.</t>
  </si>
  <si>
    <t>Número de hectáreas en fincas de cultivos agrícolas incorporadas con sistemas Agroforestales dentro del sistema de Crédito del Fondo de Garantía para la Ganadería baja en C.</t>
  </si>
  <si>
    <t>Total Otras Fuentes: 200,000 FAO +200,000 BID +20,000 MAPCOBIO +30,000 AMAS +30,000 CTCN = $480,000</t>
  </si>
  <si>
    <t>DIAGRAMA DEL AGRUPAMIENTO DE ACTIVIDADES PARA EL PLAN DE IMPLEMENTACIÓN:</t>
  </si>
  <si>
    <r>
      <t xml:space="preserve">Implementar sistemas silvopastoriles en apoyo a la estrategia ganadera baja en carbono </t>
    </r>
    <r>
      <rPr>
        <b/>
        <i/>
        <sz val="10"/>
        <color rgb="FFFF0000"/>
        <rFont val="Arial Narrow"/>
        <family val="2"/>
      </rPr>
      <t>y SAF en terrenos de cultivos agrícolas</t>
    </r>
  </si>
  <si>
    <r>
      <t xml:space="preserve"> Fortalecer rol de </t>
    </r>
    <r>
      <rPr>
        <sz val="10"/>
        <color rgb="FFFF0000"/>
        <rFont val="Arial Narrow"/>
        <family val="2"/>
      </rPr>
      <t>CRA,</t>
    </r>
    <r>
      <rPr>
        <sz val="10"/>
        <rFont val="Arial Narrow"/>
        <family val="2"/>
      </rPr>
      <t xml:space="preserve"> CORAC y COLAC, y capacitación a funcionarios de SINAC, MINAE, CIAGRO en estrategias de manejo forestal. </t>
    </r>
  </si>
  <si>
    <t xml:space="preserve">Es actividad Nueva o Existente </t>
  </si>
  <si>
    <t>PLAN DE IMPLEMENTACIÓN DE LAS ACTIVIDADES DE LA ESTRATEGIA NACIONAL REDD+CR</t>
  </si>
  <si>
    <t>Implementar sistemas silvopastoriles en apoyo a la estrategia ganadera baja en carbono</t>
  </si>
  <si>
    <t>3.1.4 Fortalecer la participación de las entidades de investigación y académicas en el refrescamiento de conocimientos gerenciales y silviculturales y en mejoramiento genético de especies.</t>
  </si>
  <si>
    <t>3.1.5 Sistematización de experiencias en gestión silvicultural exitosas por regiones y especies en el país, para plantaciones, manejo de bosques públicos y privados y sistemas agroforestales.</t>
  </si>
  <si>
    <t>3.1.6 Promover una discusión amplia con todos los sectores interesados sobre las lecciones aprendidas en la gestión silvicultural en sus diversas modalidades.</t>
  </si>
  <si>
    <t>3.2.5 Elaborar Manuales de buenas prácticas para la gestión silvicultural exitosa por especie y tipos de ecosistemas y diseñar programas de capacitación técnica y extensión sobre mejores prácticas de manejo silvicultural, manejo genético y producción en viveros en asociación con las entidades académicas del país (INA, UTN, etc.).</t>
  </si>
  <si>
    <t>2.3.3 Desarrollar un plan conjunto de información, capacitación,  asistencia técnica y extensión agroforestal entre el sector ambiente, el sector agropecuario y el privado para apoyar esfuerzos de campesinos y pequeños productores agroforestales, incluyendo Pueblos Indigenas, incluyendo temas de gestión y comercialización nacional e internacional de bienes y servicios.</t>
  </si>
  <si>
    <t xml:space="preserve">3.2.6 Fortalecer asistencia técnica y extensión en el MAG, CIAGRO y MINAE para brindar servicios se asistencia técnica y acompañamiento a los productores en materia de gestión silvicultural y mejores prácticas de uso y manejo de especies productoras de madera.   </t>
  </si>
  <si>
    <t>3.1.1 Desarrollar lineamientos y planes de implementación de los componentes del PNDF relacionados con el desarrollo de capacidades tecnológicas y gerenciales, especialmente los relacionados con las tecnologías de transformación de la madera.</t>
  </si>
  <si>
    <t>3.1.2 Actualizar estudios y generar diálogos y procesos de capacitación para abordar los obstáculos a la competitividad del sector forestal en toda la cadena de valor de los productos forestales y proponer medidas de solución.</t>
  </si>
  <si>
    <t>3.1.3 Realizar estudios e implementar estrategias de mercado nacional e internacional para productos maderables y no maderables e identificar fuentes de financiamiento para los modelos de negocios.</t>
  </si>
  <si>
    <t>3.2.2 Desarrollar un sistema de reconocimiento de madera proveniente de producción, aprovechamiento y comercialización sostenible y apoyada con PSA para fomentar su consumo, incluyendo campañas de sensibilización y promoción.</t>
  </si>
  <si>
    <t xml:space="preserve">5.3.1 Identificar oportunidades de financiamiento para las actividades productivas de la industria forestal en el sector privado mediante líneas de crédito de largo plazo, aceptación de la madera y el carbono como garantía, etc.  </t>
  </si>
  <si>
    <t>Diseñar e implementar un sistema de certificación de productos libres de deofrestación</t>
  </si>
  <si>
    <t>3.2.3 Promover sistemas de certificación a costos accesibles a los productores.</t>
  </si>
  <si>
    <t>1.3.7 Implementación de protocolos de monitoreo para terrenos mixtos (de cultivos agrícolas y forestal) .</t>
  </si>
  <si>
    <t>3.2.1 Desarrollar un plan conjunto con el MAG para promover, asesorar y acompañar a campesinos y pequeños productores en la introducción y mejora de prácticas sostenibles de producción en fincas integrales con componente forestal, incluyendo la reactivación de la Comisión Agroambiental.</t>
  </si>
  <si>
    <t xml:space="preserve">1.1.3 Organización de nuevas brigadas comunitarias de control y manejo de incendios. </t>
  </si>
  <si>
    <t>1.1.6 Campañas de concientización.</t>
  </si>
  <si>
    <t>1.1.7 Fortalecer rol de CRA, CORAC y COLAC en estrategias de manejo del fuego.</t>
  </si>
  <si>
    <t>1.2.2 Reactivación de los Comités de Vigilancia de los Recursos Naturales y de las Asociaciones de Voluntarios  y acordar plan de acción con SINAC.</t>
  </si>
  <si>
    <t>1.2.8 Desarrollar programas de monitoreo comunitario de los recursos forestales en los territorios indígenas y zonas rurales de alta incidencia de deforestación.</t>
  </si>
  <si>
    <t>1.2.14 Fortalecimiento de control de los territorios indígenas a través del programa de Dualök Kimö.</t>
  </si>
  <si>
    <t>2.1.4 Desarrollar Planes de Manejo con gestión compartida en ASPs que integran TI.</t>
  </si>
  <si>
    <t>2.1.5 Mejorar capacidades institucionales en los TI para la gestión ambiental y socialmente sostenible, comercialización nacional e internacional de bienes y servicios forestales y agroforestales.</t>
  </si>
  <si>
    <t>1.1.1 Actualizar estrategia.</t>
  </si>
  <si>
    <t>1.1.2 Talleres de capacitación.</t>
  </si>
  <si>
    <t>1.1.4 Adquisición de equipo y suministros.</t>
  </si>
  <si>
    <t>1.1.5 Mejora control de zonas críticas (tecnologías satelitales).</t>
  </si>
  <si>
    <t>1.1.8 Fortalecer capacidades institucionales (gestión, recursos humanos, financieros, operativos y tecnológicos).</t>
  </si>
  <si>
    <t>1.2.1 Actualizar estrategia contra el uso, aprovechamiento y comercialización ilegal de recursos forestales en Costa Rica en toda la cadena productiva.</t>
  </si>
  <si>
    <t>1.2.3 Capacitación de funcionarios públicos –policía, fiscalías, TAA, CA, juzgados, MAG, MINAE-   y miembros de COVIRENAS y otros grupos organizados, CIAGRO.</t>
  </si>
  <si>
    <t>1.2.4 Ejecución de operativos de control regulares adicionales de uso, aprovechamiento y transporte ilegal.</t>
  </si>
  <si>
    <t>1.2.5 Diseño de plan de auditorías para garantizar transparencia, control de fraudes  y consistencia de la gestión de permisos de aprovechamiento y planes de manejo forestal, para la AFE y el CIAGRO.</t>
  </si>
  <si>
    <t>1.2.6 Asegurar recursos financieros para las acciones adicionales de fiscalización y control del SINAC y CIAGRO.</t>
  </si>
  <si>
    <t>1.2.9 Fortalecer acciones de control y protección de recursos forestales en ASPs y PNE.</t>
  </si>
  <si>
    <t>1.2.11 Fortalecer capacidades institucionales (gestión, recursos humanos, financieros, operativos y tecnológicos) del SINAC y otras entidades relacionadas con el control forestal.</t>
  </si>
  <si>
    <t>1.2.12 Actualización de necesidades, regulaciones y capacidades operativas y financieras para mejorar la gestión fiscalizadora de CIAGRO.</t>
  </si>
  <si>
    <t>1.2.13 Adecuar función fiscalizadora de SINAC y CIAGRO a las particularidades de los pueblos indígenas.</t>
  </si>
  <si>
    <t>1.5.4 Priorizar pago de Pagos por Servicios Ambientales para conservación en Areas Silvestres Protegidas y eventual aumento en montos.</t>
  </si>
  <si>
    <t>5.1.5 Ampliar el concepto de pago por servicios ambientales a otros servicios actualmente no reconocidos en la ley forestal pero que encuentran sustento jurídico en otros cuerpos normativos (revisión legislativa o reglamentaria).</t>
  </si>
  <si>
    <t>5.1.6 Desarrollar campañas de información ciudadana sobre la importancia del programa de PSA, de la estrategia REDD+, de los beneficios sociales y ambientales de la gestión sostenible de bosques y plantaciones y de la conservación.</t>
  </si>
  <si>
    <t>5.1.7 Realizar estudios y propuestas jurídicas para ampliar la cobertura del PSA  y considerar la posibilidad de asignar montos más competitivos a las diversas modalidades de PSA.</t>
  </si>
  <si>
    <t>5.2.1 Identificar opciones para ampliar el alcance del PSA a otras modalidades que permitan la coexistencia de actividades productivas y de conservación agropecuarias y forestales.</t>
  </si>
  <si>
    <t>5.2.2 Identificar restricciones legales, técnicas y operativas para ampliar la cobertura del PSA y propiciar los cambios correspondientes.</t>
  </si>
  <si>
    <t>5.2.5 Diseñar y probar un mecanismo para el manejo integral de la finca campesina agroforestal que combine reconocimiento de servicios ambientales y otros servicios agro-ecosistémicos con beneficios sociales y ambientales (PSA campesino).</t>
  </si>
  <si>
    <t>5.2.6 Diseñar y probar un mecanismo de gestión y financiamineto de los bosques consistentes con los principios culturales de manejo forestal de los Pueblos Indígenas (PSA indígena).</t>
  </si>
  <si>
    <t>5.2.8 Analizar opciones para priorizar el otorgamiento de asignaciones de PSA a organizaciones y PI.</t>
  </si>
  <si>
    <t>5.2.4 Diseñar modalidades de financiamiento novedosas, desarrollar aplicaciones piloto y evaluar resultados.</t>
  </si>
  <si>
    <t>Revision de criterios e indicadores para el manejo forestal del bosque primario con el SINAC</t>
  </si>
  <si>
    <t>1.5.8 Actualizar planes de manejo de Areas Silvestres Protegidas para potenciar desarrollo de proyectos REDD+.</t>
  </si>
  <si>
    <t>1.6.7 Promover estudios y prácticas de aprovechamiento de bajo impacto ambiental y social para mejorar conservación de biodiversidad.</t>
  </si>
  <si>
    <t>3.1.9 Analizar opciones jurídicas y administrativas para favorecer el uso de la madera caída, incluyendo en ASPs según sea apropiado, principalmente para beneficio de organizaciones y pequeños productores y campesinos.</t>
  </si>
  <si>
    <t>5.1.2 Incorporar en el Plan Nacional Desarrollo Forestal y en la Estrategia Nacional de Biodiversidad con criterios claros y consensuados sobre uso del territorio para fines diversos de conservación y manejo forestal sostenible con el objeto de garantizar seguridad jurídica y política a los ciudadanos e inversionistas en acciones REDD+.</t>
  </si>
  <si>
    <t>3.1.8 Incorporar criterios de calidad de gestión silvicultural en los Criterios e Indicadores para el Manejo Forestal Sostenible y en los criterios de evaluación del PSA para reforestación y manejo.</t>
  </si>
  <si>
    <t xml:space="preserve">1.2.10 Fortalecer rol de CRA, CORAC y COLAC en estrategias de manejo forestal. </t>
  </si>
  <si>
    <t>2.1.6 Desarrollar acciones de capacitación a funcionarios (SINAC, MINAE, CIAGRO) para trabajo conjunto.</t>
  </si>
  <si>
    <t>3.2.4 Fortalecer los CAC y otras organizaciones regionales y locales en la provisión de material genético mejorado y apropiado para las diferentes actividades y regiones del país.</t>
  </si>
  <si>
    <t>1.6.4 Orientar esfuerzos REDD+ a áreas prioritarias de conservación de la biodiversidad, protección de cuencas y restauración de suelos incluyendo la promoción de acciones de restauración con especies amenazadas y en peligro.</t>
  </si>
  <si>
    <t>5.4.1 Campaña de arborización en infraestructura pública (carreteras y caminos, escuelas, etc.).</t>
  </si>
  <si>
    <t>5.4.2 Desarrollar programas de educación ambiental y asistencia técnica y de viveros comunitarios y escolares asociados a programas de arborización de zonas públicas.</t>
  </si>
  <si>
    <t>5.4.3 Fortalecer mecanismos interinstitucionales de coordinación del poder ejecutivo y gobiernos locales para aumentar capacidades de trabajo conjunto en los procesos de arborización en zonas públicas.</t>
  </si>
  <si>
    <t>1.4.1 Desarrollar/actualizar el inventario nacional de tierras del PNE fuera de control del MINAE y su respectivo catastro.</t>
  </si>
  <si>
    <t xml:space="preserve">1.4.2 Realizar un análisis de la situación de derechos de tenencia de la tierra en el Patrimonio Natural del Estado. </t>
  </si>
  <si>
    <t>1.4.3 Realizar los trámites necesarios para inscribir las tierras públicas pendientes y materializar su traslado al MINAE.</t>
  </si>
  <si>
    <t>1.4.4 Realizar un estudio sobre usos actuales y vocación de uso de las tierras del PNE con miras a su integración en esfuerzos REDD+</t>
  </si>
  <si>
    <t>1.4.5 Desarrollar los planes de manejo de las tierras del Patrimonio Nacional del Estado que permitan incorporarlas a generar resultados relacionados con REDD+ mediante acciones públicas, mixtas o comunitarias, incluyendo la necesidad de arreglos institucionales.</t>
  </si>
  <si>
    <t>1.4.6 Identificar y asegurar los costos y fuentes de financiamiento para el traslado y gestión de las nuevas tierras a incorporar en el PNE.</t>
  </si>
  <si>
    <t xml:space="preserve">1.4.7 Desarrollar Estrategia de gestión de recursos para la plena incorporación de las tierras al PNE </t>
  </si>
  <si>
    <t>1.6.8 Fortalecer inversiones REDD+ en corredores biológicos prioritarios.</t>
  </si>
  <si>
    <t xml:space="preserve">5.1.1 Identificar y definir priorización las zonas del territorio nacional susceptibles de generar  beneficios REDD+ de acuerdo con las diversas modalidades a ser implementadas. </t>
  </si>
  <si>
    <t>5.1.4 Identificar áreas de mayor generación de co-beneficios sociales y ambientales para definir prioridades de asignación de recursos.</t>
  </si>
  <si>
    <t>1.4.8 Consistencia en normas de delimitación y demarcación de zonas Areas Bajo Regimenes Especiales y solución de casos en tribunales.</t>
  </si>
  <si>
    <t>1.5.1 Actualización del inventario y costos de tenencia de la tierra por terceros en Areas Silvestres Protegidas.</t>
  </si>
  <si>
    <t>1.5.2 Actualización del Proyecto de Areas Protegidas y desarrollar estrategia de implementación y financiamiento.</t>
  </si>
  <si>
    <t>2.1.2 Identificar necesidades de armonización de normas legales nacionales e internacionales con derechos de PI sobre gestión de recursos en TI.</t>
  </si>
  <si>
    <t>2.1.3 Promover adopción de modificaciones mediante decreto o reformas legales específicas.</t>
  </si>
  <si>
    <t>4.1.1 Contribuir en la actualización de estudios de tenencia de la tierra en todos los Territorios Indigenas en coordinación con las entidades estatales competentes.</t>
  </si>
  <si>
    <t>4.1.2 Apoyo a la elaboración de un Plan de largo plazo de regularización de derechos en Territorios Indigenas.</t>
  </si>
  <si>
    <t>4.1.4 Análisis de los derechos de reducción de emisiones y mecanismos de transferencia.</t>
  </si>
  <si>
    <t>4.1.5 Coadyuvar en el establecimiento de un mecanismo de asistencia jurídica y catastral a los Pueblos Indigenas para apoyar la regularización de derechos de tenencia de la tierra en Territorios Indigenas con el concurso de las entidades competentes.</t>
  </si>
  <si>
    <t>4.2.1 Contribuir en estudios de tenencia de la tierra en todas las zonas Areas Bajo Regimenes Especiales excepto Territrios Indigenas en coordinación con las entidades estatales competentes.</t>
  </si>
  <si>
    <t>4.2.2 Apoyo a la elaboración de un Plan de largo plazo de clarificación de derechos de tenencia de la tierra en zonas ABRE.</t>
  </si>
  <si>
    <t>4.2.4 Análisis de los derechos de reducción de emisiones y mecanismos de transferencia.</t>
  </si>
  <si>
    <t>4.2.5 Coadyuvar en el establecimiento un mecanismo de asistencia jurídica y catastral para apoyar la regularización de derechos de tenencia en zonas ABRE con el concurso de las entidades competentes.</t>
  </si>
  <si>
    <t>4.3.1 Desarrollar inventario y catastro de tierras públicas susceptibles de implementar acciones REDD+</t>
  </si>
  <si>
    <t>4.3.2 Análisis de los regímenes públicos de tenencia de la tierra y arreglos institucionales requeridos para transferencia de derechos de reducción de emisiones.</t>
  </si>
  <si>
    <t>4.4.1 Revisión de leyes y decretos para verificación de disposiciones contradictorias sobre límites de zonas ABRE.</t>
  </si>
  <si>
    <t>4.4.2 Propuesta de modificaciones legales y/o reglamentarias para normalizar delimitación de zonas conflictivas</t>
  </si>
  <si>
    <t>5.1.3 Fomentar el desarrollo de políticas públicas que agreguen valor a los ecosistemas forestales y reduzcan la presión para cambio de uso del suelo.</t>
  </si>
  <si>
    <t>1.3.1 Diseñar/ajustar el SNMB a los requerimientos técnico-metodológicos específicos de REDD+ y consistente con los lineamientos o requerimientos del IMN respecto de la compatibilidad de los enfoques con los inventarios nacionales de GEI.</t>
  </si>
  <si>
    <t>1.3.2 Diseñar una estrategia de Monitoreo de Bosques consistente con los requerimientos de MRV de REDD+ (periodicidad, rigurosidad, alcance).</t>
  </si>
  <si>
    <t>1.3.3 Identificar costos adicionales y fuentes de financiamiento para garantizar que el SNMB proporcione la información necesaria para el MRV de REDD+.</t>
  </si>
  <si>
    <t>1.3.4 Identificar necesidad de arreglos institucionales adicionales para clarificar responsabilidades para la plena y oportuna implementación del Sistema Nacional Monitoreo Bosques conforme lo anterior.</t>
  </si>
  <si>
    <t>1.3.5 Diseñar estrategia de monitoreo comunitario de bosques en áreas críticas.</t>
  </si>
  <si>
    <t>1.3.6 Establecer un mecanismo de monitoreo y evaluación participativo con los Pueblos Indígenas.</t>
  </si>
  <si>
    <t>1.3.8 Desarrollo de un sistema de cuantificación del carbono forestal urbano.</t>
  </si>
  <si>
    <t>6.3.1 Alcanzar consistencia con el MRV de REDD+ con el marco nacional de MRV ante la CMNUCC.</t>
  </si>
  <si>
    <t>1.2.7 Incorporar mecanismos de control y denuncia ciudadana de actividades ilegales a través del mecanismo de queja.</t>
  </si>
  <si>
    <t>2.2.1 Fortalecer los mecanismos de resolución alternativa de conflictos en zonas Areas Bajo Regimenes Especiales en conjunto con el Ministerio de Justicia y Paz y la Defensoria de los Habitantes de la Republica de Costa Rica, incluyendo el desarrollo de protocolos.</t>
  </si>
  <si>
    <t>2.2.2 Desarrollar un mecanismo de solución de conflictos apropiado a Pueblos Indigenas y poblaciones agroforestales y campesinas relacionadas con REDD+.</t>
  </si>
  <si>
    <t>2.2.3 Ampliar la cobertura para la recepción de inconformidades a otras entidades públicas y comunitarias, y garantizar espacios para su evaluación periódica.</t>
  </si>
  <si>
    <t>4.1.3 Contribuir al diseño de un mecanismo culturalmente apropiado de resolución de conflictos para atender problemas de tenencia de la tierra en Territorios Indigenas en conjunto con la Defensoría de los Habitantes de la República y Ministerio de Justicia y Paz y el Ministerio de la Presidencia.</t>
  </si>
  <si>
    <t>4.2.3 Contribuir al diseño de un mecanismo de resolución de conflictos para atender problemas de tenencia de la tierra en zonas ABRE excepto TI en conjunto con la DHR y MJP.</t>
  </si>
  <si>
    <t>6.1.1 Definición del alcance del SIS a la luz de las necesidades de atender disposiciones de la Convension Marco de las Naciones Unidas para Cambio Climatico y entidades facilitadoras de REDD+.</t>
  </si>
  <si>
    <t>6.1.2 Clarificación de las variables, criterios e indicadores para el desarrollo del Sistema Nacional de Información sobre Salvaguardas como base para la producción de los informes a la Convención.</t>
  </si>
  <si>
    <t>6.1.3 Definición de parámetros para la integración del Sistema Nacional de Información Ambiental y determinación de necesidad de arreglos institucionales para la generación y provisión de información actualizada y regular.</t>
  </si>
  <si>
    <t>6.1.4 Socialización del SIS y ajustes, incluyendo el mecanismo de socialización de resultados y reportes.</t>
  </si>
  <si>
    <t>6.1.5 Fortalecer las capacidades para la generación y provisión de información que alimente el Sistema Informacion de Salvaguardas.</t>
  </si>
  <si>
    <t>6.1.6 Preparación de reportes regulares consistentes con los requerimientos nacionales e internacionales.</t>
  </si>
  <si>
    <t>6.2.2 Información y capacitación a sociedad civil y funcionarios públicos involucrados sobre funcionamiento y alcance del Mecanismo de Información, Retroalimentación e Inconformidades (MIRI).</t>
  </si>
  <si>
    <t>6.4.1 Desarrollar una estrategia para transversalizar el enfoque de género y otros grupos relevantes en la estrategia REDD+ sobre la base de los estudios preliminares realizados.</t>
  </si>
  <si>
    <t>6.4.2 Desarrollar actividades de información, capacitación, extensión y financiamiento para promover la participación de las mujeres en las acciones REDD+.</t>
  </si>
  <si>
    <t>1.6.5 Estrategias de comunicación a la sociedad sobre importancia de los bosques para la conservación de la biodiversidad y otros servicios ambientales.</t>
  </si>
  <si>
    <t>2.1.1 Actualizar Plan Nacional de Desarrollo Forestal con la participación de los Pueblos Indigenas conforme principios de Consentimiento Previo, Libre e Informado.</t>
  </si>
  <si>
    <t>2.3.1 Realizar/Actualizar diagnóstico sobre limitaciones de acceso de poblaciones agroforestales y campesinas en zonas Areas Bajo Regimenes Especiales para participar en REDD+ (legales, económicas, técnicas, logísticas).</t>
  </si>
  <si>
    <t>2.3.2 Desarrollar estudios y diseñar e implementar planes para generación de beneficios económicos y sociales a través de REDD+ u otras acciones de política para poblaciones rurales agroforestales y campesinas.</t>
  </si>
  <si>
    <t xml:space="preserve">3.1.7 Fomentar intercambios entre campesinos y PI sobre manejo de bosques, sistemas agrorestales, etc. </t>
  </si>
  <si>
    <t>5.2.7 Desarrollar un plan de capacitación para sectores campesinos, productores agroforestales y pueblos indígenas para mejorar conocimientos de acceso a beneficios de nuevos mecanismos de financiamiento.</t>
  </si>
  <si>
    <t>6.2.4 Desarrollo de una plataforma de diálogo y comunicación sistemático con las PIRs.</t>
  </si>
  <si>
    <t>1.6.1 Integrar la estrategia REDD+ en la Estrategia Nacional de Biodiversidad y Plan de Accion Nacional de la lucha contra la desertificación y la sequía).</t>
  </si>
  <si>
    <t>1.6.2 Integrar la estrategia REDD+ en la Estrategia Nacional de Cambio Climatico y el Plan de Adaptación.</t>
  </si>
  <si>
    <t>1.6.3 Integrar la estrategia REDD+ en el marco de planificación de los Objetivos de Desarrollo Sostenible.</t>
  </si>
  <si>
    <t>1.6.9 Análisis de eficiencia de servicio y capacidades operativas del SINAC y FONAFIFO para cumplir con implementación de la estrategia REDD+ y puesta en operación de acciones recomendadas.</t>
  </si>
  <si>
    <t xml:space="preserve">1.6.10 Desarrollar, en conjunto con las entidades competentes, mecanismos de monitoreo de las implicancias sociales y ambientales de las acciones REDD+ en las zonas prioritarias de intervención.    </t>
  </si>
  <si>
    <t>1.6.11 Incorporación de la Estrategia Nacional-REDD+ en la Estrategia de Restauración del Paisaje Rural.</t>
  </si>
  <si>
    <t>1.7.1 Actualización regular de los análisis sobre motores de la deforestación y degradación, incluyendo considerar el tema de las migraciones.</t>
  </si>
  <si>
    <t>1.7.2 Analizar, revisar y alinear políticas públicas e incentivos que generan deforestación y la degradación.</t>
  </si>
  <si>
    <t>1.7.3 Garantizar consistencia de políticas públicas sectoriales con objetivos de la estrategia REDD+.</t>
  </si>
  <si>
    <t>6.2.1 Socialización y oficialización del Marco de Gestión Social y Ambiental de EN-REDD+CR y los marcos específicos.</t>
  </si>
  <si>
    <t>6.2.3 Implementación y evaluación anual con participación de las PIRs de los resultados del MGAS, los marcos específicos y el MIRI.</t>
  </si>
  <si>
    <t>5.2.3 Identificar otras modalidades de financiamiento para REDD+ más allá del PSA.</t>
  </si>
  <si>
    <t>5.3.2 Identificar potencial y mecanismos del mercado nacional de carbono para generar recursos para el sector forestal.</t>
  </si>
  <si>
    <t>5.3.3 Analizar impacto de importaciones de madera en la competitividad del sector forestal nacional y proponer medidas para resolverlas.</t>
  </si>
  <si>
    <t>5.3.4 Desarrollar una estrategia de financiamiento de largo plazo para la plena implementación de la Estrategia REDD+.</t>
  </si>
  <si>
    <t>1.5.3 Diseñar y ejecutar estrategia de financiamiento a largo plazo para compra de tierras en Areas Silvestres Protegidas.</t>
  </si>
  <si>
    <t>1.5.5 Aumentar presupuestos regulares para compra de tierras en Areas Silvestres Protegidas.</t>
  </si>
  <si>
    <t>1.5.6 Promoción del sometimiento voluntario al régimen forestal.</t>
  </si>
  <si>
    <t>1.5.7 % de recursos del Mecanismo de Distribucion de Beneficios destinados a compra de tierras en Areas Silvestres Protegidas.</t>
  </si>
  <si>
    <t>5.3.5 Diseño, puesta en operación y evaluación periódica del Mecanismo de Distribución de Beneficios  con la participación de las Partes Intersadas Relevantes.</t>
  </si>
  <si>
    <t>Actividades según nuevo agrupamiento (VER "Costos Institucionales nuevas PAMs ENREDD V3.xlsx")</t>
  </si>
  <si>
    <t>María Isabel Chavarría</t>
  </si>
  <si>
    <t>C-Op, G-P</t>
  </si>
  <si>
    <t>Director Fomento</t>
  </si>
  <si>
    <t>MINAE-FONAFIFO</t>
  </si>
  <si>
    <r>
      <t xml:space="preserve">Implementar sistemas silvopastoriles en apoyo a la estrategia ganadera baja en carbono </t>
    </r>
    <r>
      <rPr>
        <b/>
        <i/>
        <sz val="10"/>
        <color theme="8" tint="-0.249977111117893"/>
        <rFont val="Arial Narrow"/>
        <family val="2"/>
      </rPr>
      <t>y SAF en terrenos de cultivos agrícolas</t>
    </r>
  </si>
  <si>
    <t>Encargado PNDF</t>
  </si>
  <si>
    <t>Depto Climatología e Investigaciones Aplicadas</t>
  </si>
  <si>
    <t xml:space="preserve">MINAE, AFE, CONAGEBIO, ADIs, </t>
  </si>
  <si>
    <t>Secretaría, FONAFIFO, SINAC, IMN</t>
  </si>
  <si>
    <t>Promoción de sistemas productivos bajos en emisiones de carbono</t>
  </si>
  <si>
    <t>NUM</t>
  </si>
  <si>
    <t>1.1</t>
  </si>
  <si>
    <t>1.1.1</t>
  </si>
  <si>
    <t>1.1.2</t>
  </si>
  <si>
    <t>1.1.3</t>
  </si>
  <si>
    <t>1.</t>
  </si>
  <si>
    <t>1.2</t>
  </si>
  <si>
    <t>1.2.1</t>
  </si>
  <si>
    <t>1.3</t>
  </si>
  <si>
    <t>1.3.1</t>
  </si>
  <si>
    <t>1.4</t>
  </si>
  <si>
    <t>1.4.1</t>
  </si>
  <si>
    <t>1.5</t>
  </si>
  <si>
    <t>1.5.1</t>
  </si>
  <si>
    <t>1.6</t>
  </si>
  <si>
    <t>1.6.1</t>
  </si>
  <si>
    <t>1.7</t>
  </si>
  <si>
    <t>1.7.1</t>
  </si>
  <si>
    <t>2.</t>
  </si>
  <si>
    <t>2.1</t>
  </si>
  <si>
    <t>2.1.1</t>
  </si>
  <si>
    <t>2.1.2</t>
  </si>
  <si>
    <t>2.1.3</t>
  </si>
  <si>
    <t>2.2</t>
  </si>
  <si>
    <t>2.2.1</t>
  </si>
  <si>
    <t>2.3</t>
  </si>
  <si>
    <t>2.3.1</t>
  </si>
  <si>
    <t>2.3.2</t>
  </si>
  <si>
    <t>2.3.3</t>
  </si>
  <si>
    <t>3.</t>
  </si>
  <si>
    <t>3.a</t>
  </si>
  <si>
    <t>3.a.1</t>
  </si>
  <si>
    <t>3.a.2</t>
  </si>
  <si>
    <t>3.a.1y2.1</t>
  </si>
  <si>
    <t>3.b</t>
  </si>
  <si>
    <t>3.b.1</t>
  </si>
  <si>
    <t>3.b.1.1</t>
  </si>
  <si>
    <t>3.b.1.2</t>
  </si>
  <si>
    <t>3.b.1.3</t>
  </si>
  <si>
    <t>3.b.2</t>
  </si>
  <si>
    <t>3.b.2.1</t>
  </si>
  <si>
    <t>3.b.3</t>
  </si>
  <si>
    <t>3.b.3.1</t>
  </si>
  <si>
    <t>3.b.4</t>
  </si>
  <si>
    <t>3.b.4.1</t>
  </si>
  <si>
    <t>3.c</t>
  </si>
  <si>
    <t>3.c.1.1</t>
  </si>
  <si>
    <t>4.</t>
  </si>
  <si>
    <t>4.a</t>
  </si>
  <si>
    <t>4.a.1</t>
  </si>
  <si>
    <t>4.a.2</t>
  </si>
  <si>
    <t>4.a.1y2.1</t>
  </si>
  <si>
    <t>4.b</t>
  </si>
  <si>
    <t>4.b.1</t>
  </si>
  <si>
    <t>4.b.1.1</t>
  </si>
  <si>
    <t>4.b.1.2</t>
  </si>
  <si>
    <t>4.b.2</t>
  </si>
  <si>
    <t>4.b.2.1</t>
  </si>
  <si>
    <t>5.</t>
  </si>
  <si>
    <t>5.1</t>
  </si>
  <si>
    <t>5.1.1</t>
  </si>
  <si>
    <t>5.1.2</t>
  </si>
  <si>
    <t>5.1.3</t>
  </si>
  <si>
    <t>5.2</t>
  </si>
  <si>
    <t>5.2.1</t>
  </si>
  <si>
    <t>5.2.2</t>
  </si>
  <si>
    <t>5.2.3</t>
  </si>
  <si>
    <t>5.3</t>
  </si>
  <si>
    <t>5.3.1</t>
  </si>
  <si>
    <t>5.4</t>
  </si>
  <si>
    <t>5.4.1</t>
  </si>
  <si>
    <t>5.5</t>
  </si>
  <si>
    <t>5.5.1</t>
  </si>
  <si>
    <t>5.5.2</t>
  </si>
  <si>
    <t>5.6</t>
  </si>
  <si>
    <t>5.6.1</t>
  </si>
  <si>
    <t>5.6.2</t>
  </si>
  <si>
    <t>5.7</t>
  </si>
  <si>
    <t>5.7.1</t>
  </si>
  <si>
    <t>5.8</t>
  </si>
  <si>
    <t>5.8.1</t>
  </si>
  <si>
    <t>5.8.2</t>
  </si>
  <si>
    <t>5.8.3</t>
  </si>
  <si>
    <t>5.9</t>
  </si>
  <si>
    <t>5.9.1</t>
  </si>
  <si>
    <t>5.9.2</t>
  </si>
  <si>
    <t>5.9.3</t>
  </si>
  <si>
    <t>5.10</t>
  </si>
  <si>
    <t>5.10.1</t>
  </si>
  <si>
    <t>5.11</t>
  </si>
  <si>
    <t>5.11.1</t>
  </si>
  <si>
    <t>1.3.2</t>
  </si>
  <si>
    <t>1.4.2</t>
  </si>
  <si>
    <t>5.5.3</t>
  </si>
  <si>
    <t>Complemento del Fondo de Garantía propuesto como eje de la La Estrategia para la Ganadería Baja en Carbono (EDGBC).</t>
  </si>
  <si>
    <t>Evolución del Indicador CON Recursos REDD+</t>
  </si>
  <si>
    <t>Otras fuentes ya contratadas (%)</t>
  </si>
  <si>
    <t>Presupuesto Estatal (% del total)</t>
  </si>
  <si>
    <t xml:space="preserve">Observaciones </t>
  </si>
  <si>
    <t>Suma (2017-2025) SIN estrategia</t>
  </si>
  <si>
    <t>Suma (2017-2025) CON estrategia</t>
  </si>
  <si>
    <t>Lo que el país ya hace</t>
  </si>
  <si>
    <t>tc 550/$</t>
  </si>
  <si>
    <t>tc 570/$</t>
  </si>
  <si>
    <t>La ambición adicional para el desarrollo pleno</t>
  </si>
  <si>
    <r>
      <t>Implementar sistemas silvopastoriles en apoyo a la estrategia ganadera baja en carbono</t>
    </r>
    <r>
      <rPr>
        <b/>
        <i/>
        <sz val="10"/>
        <rFont val="Arial Narrow"/>
        <family val="2"/>
      </rPr>
      <t xml:space="preserve"> y SAF en terrenos de cultivos agrícolas</t>
    </r>
  </si>
  <si>
    <t>PAM</t>
  </si>
  <si>
    <t>Suma total</t>
  </si>
  <si>
    <t>Financiamiento del Costo Incremental</t>
  </si>
  <si>
    <t>Políticas / Acciones / Actividades o Tareas ESTRATEGIA NACIONAL</t>
  </si>
  <si>
    <t>PAMs DEL PLAN DE IMPLEMENTACIÓN</t>
  </si>
  <si>
    <r>
      <t xml:space="preserve">Implementar sistemas silvopastoriles en apoyo a la estrategia ganadera baja en carbono </t>
    </r>
    <r>
      <rPr>
        <b/>
        <i/>
        <sz val="10"/>
        <color theme="8" tint="-0.249977111117893"/>
        <rFont val="Agency FB"/>
        <family val="2"/>
      </rPr>
      <t>y SAF en terrenos de cultivos agrícolas</t>
    </r>
  </si>
  <si>
    <r>
      <t xml:space="preserve"> Fortalecer rol de </t>
    </r>
    <r>
      <rPr>
        <sz val="10"/>
        <color rgb="FFFF0000"/>
        <rFont val="Agency FB"/>
        <family val="2"/>
      </rPr>
      <t>CRA,</t>
    </r>
    <r>
      <rPr>
        <sz val="10"/>
        <rFont val="Agency FB"/>
        <family val="2"/>
      </rPr>
      <t xml:space="preserve"> CORAC y COLAC, y capacitación a funcionarios de SINAC, MINAE, CIAGRO en estrategias de manejo forestal.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</si>
</sst>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1" formatCode="_-* #,##0_-;\-* #,##0_-;_-* &quot;-&quot;_-;_-@_-"/>
    <numFmt numFmtId="43" formatCode="_-* #,##0.00_-;\-* #,##0.00_-;_-* &quot;-&quot;??_-;_-@_-"/>
    <numFmt numFmtId="164" formatCode="_-[$$-540A]* #,##0_ ;_-[$$-540A]* \-#,##0\ ;_-[$$-540A]* &quot;-&quot;_ ;_-@_ "/>
    <numFmt numFmtId="165" formatCode="_(* #,##0_);_(* \(#,##0\);_(* &quot;-&quot;??_);_(@_)"/>
    <numFmt numFmtId="166" formatCode="_(* #,##0.00_);_(* \(#,##0.00\);_(* &quot;-&quot;??_);_(@_)"/>
    <numFmt numFmtId="167" formatCode="0.0%"/>
    <numFmt numFmtId="168" formatCode="_-* #,##0.0_-;\-* #,##0.0_-;_-* &quot;-&quot;_-;_-@_-"/>
    <numFmt numFmtId="169" formatCode="_-* #,##0.00_-;\-* #,##0.00_-;_-* &quot;-&quot;_-;_-@_-"/>
  </numFmts>
  <fonts count="43" x14ac:knownFonts="1">
    <font>
      <sz val="11"/>
      <name val="Calibri"/>
      <family val="2"/>
    </font>
    <font>
      <sz val="10"/>
      <color theme="1"/>
      <name val="Arial Narrow"/>
      <family val="2"/>
    </font>
    <font>
      <sz val="10"/>
      <name val="Agency FB"/>
      <family val="2"/>
    </font>
    <font>
      <sz val="18"/>
      <name val="Agency FB"/>
      <family val="2"/>
    </font>
    <font>
      <b/>
      <sz val="10"/>
      <name val="Agency FB"/>
      <family val="2"/>
    </font>
    <font>
      <b/>
      <i/>
      <sz val="10"/>
      <color theme="1"/>
      <name val="Agency FB"/>
      <family val="2"/>
    </font>
    <font>
      <b/>
      <sz val="9"/>
      <color indexed="81"/>
      <name val="Tahoma"/>
      <family val="2"/>
    </font>
    <font>
      <sz val="9"/>
      <color indexed="81"/>
      <name val="Tahoma"/>
      <family val="2"/>
    </font>
    <font>
      <b/>
      <sz val="10"/>
      <name val="Arial Narrow"/>
      <family val="2"/>
    </font>
    <font>
      <sz val="10"/>
      <name val="Arial Narrow"/>
      <family val="2"/>
    </font>
    <font>
      <b/>
      <sz val="12"/>
      <name val="Arial Narrow"/>
      <family val="2"/>
    </font>
    <font>
      <b/>
      <i/>
      <sz val="10"/>
      <color theme="1"/>
      <name val="Arial Narrow"/>
      <family val="2"/>
    </font>
    <font>
      <b/>
      <i/>
      <sz val="10"/>
      <name val="Arial Narrow"/>
      <family val="2"/>
    </font>
    <font>
      <sz val="11"/>
      <name val="Calibri"/>
      <family val="2"/>
    </font>
    <font>
      <sz val="11"/>
      <name val="Arial Narrow"/>
      <family val="2"/>
    </font>
    <font>
      <sz val="11"/>
      <color rgb="FFFF0000"/>
      <name val="Arial Narrow"/>
      <family val="2"/>
    </font>
    <font>
      <sz val="10"/>
      <color rgb="FFFF0000"/>
      <name val="Arial Narrow"/>
      <family val="2"/>
    </font>
    <font>
      <b/>
      <sz val="11"/>
      <name val="Arial Narrow"/>
      <family val="2"/>
    </font>
    <font>
      <sz val="11"/>
      <color rgb="FF1F497D"/>
      <name val="Arial Narrow"/>
      <family val="2"/>
    </font>
    <font>
      <sz val="11"/>
      <color theme="9" tint="-0.499984740745262"/>
      <name val="Arial Narrow"/>
      <family val="2"/>
    </font>
    <font>
      <sz val="11"/>
      <color rgb="FF0070C0"/>
      <name val="Arial Narrow"/>
      <family val="2"/>
    </font>
    <font>
      <b/>
      <sz val="10"/>
      <color rgb="FFFF0000"/>
      <name val="Arial Narrow"/>
      <family val="2"/>
    </font>
    <font>
      <b/>
      <i/>
      <sz val="10"/>
      <color rgb="FFFF0000"/>
      <name val="Arial Narrow"/>
      <family val="2"/>
    </font>
    <font>
      <sz val="10"/>
      <color rgb="FF262626"/>
      <name val="Arial Narrow"/>
      <family val="2"/>
    </font>
    <font>
      <sz val="10"/>
      <color rgb="FF1F497D"/>
      <name val="Arial Narrow"/>
      <family val="2"/>
    </font>
    <font>
      <sz val="10"/>
      <color rgb="FF7030A0"/>
      <name val="Arial Narrow"/>
      <family val="2"/>
    </font>
    <font>
      <sz val="10"/>
      <color rgb="FF000000"/>
      <name val="Arial Narrow"/>
      <family val="2"/>
    </font>
    <font>
      <sz val="10"/>
      <color theme="9" tint="-0.499984740745262"/>
      <name val="Arial Narrow"/>
      <family val="2"/>
    </font>
    <font>
      <sz val="10"/>
      <color rgb="FF0070C0"/>
      <name val="Arial Narrow"/>
      <family val="2"/>
    </font>
    <font>
      <sz val="10"/>
      <color rgb="FF002060"/>
      <name val="Arial Narrow"/>
      <family val="2"/>
    </font>
    <font>
      <sz val="9"/>
      <name val="Arial Narrow"/>
      <family val="2"/>
    </font>
    <font>
      <b/>
      <sz val="9"/>
      <name val="Arial Narrow"/>
      <family val="2"/>
    </font>
    <font>
      <b/>
      <sz val="14"/>
      <name val="Arial Narrow"/>
      <family val="2"/>
    </font>
    <font>
      <b/>
      <sz val="14"/>
      <name val="Calibri"/>
      <family val="2"/>
    </font>
    <font>
      <sz val="18"/>
      <name val="Arial Narrow"/>
      <family val="2"/>
    </font>
    <font>
      <b/>
      <sz val="18"/>
      <name val="Arial Narrow"/>
      <family val="2"/>
    </font>
    <font>
      <sz val="10"/>
      <color theme="8" tint="-0.249977111117893"/>
      <name val="Arial Narrow"/>
      <family val="2"/>
    </font>
    <font>
      <b/>
      <i/>
      <sz val="10"/>
      <color theme="8" tint="-0.249977111117893"/>
      <name val="Arial Narrow"/>
      <family val="2"/>
    </font>
    <font>
      <sz val="10"/>
      <color theme="8" tint="-0.499984740745262"/>
      <name val="Arial Narrow"/>
      <family val="2"/>
    </font>
    <font>
      <b/>
      <i/>
      <sz val="10"/>
      <color theme="8" tint="-0.249977111117893"/>
      <name val="Agency FB"/>
      <family val="2"/>
    </font>
    <font>
      <sz val="10"/>
      <color theme="9" tint="-0.499984740745262"/>
      <name val="Agency FB"/>
      <family val="2"/>
    </font>
    <font>
      <sz val="10"/>
      <color theme="8" tint="-0.249977111117893"/>
      <name val="Agency FB"/>
      <family val="2"/>
    </font>
    <font>
      <sz val="10"/>
      <color rgb="FFFF0000"/>
      <name val="Agency FB"/>
      <family val="2"/>
    </font>
  </fonts>
  <fills count="11">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bgColor indexed="64"/>
      </patternFill>
    </fill>
  </fills>
  <borders count="71">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auto="1"/>
      </top>
      <bottom/>
      <diagonal/>
    </border>
    <border>
      <left style="medium">
        <color indexed="64"/>
      </left>
      <right/>
      <top style="thin">
        <color auto="1"/>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bottom style="thin">
        <color indexed="64"/>
      </bottom>
      <diagonal/>
    </border>
    <border>
      <left style="thin">
        <color auto="1"/>
      </left>
      <right style="double">
        <color auto="1"/>
      </right>
      <top/>
      <bottom style="thin">
        <color indexed="64"/>
      </bottom>
      <diagonal/>
    </border>
    <border>
      <left/>
      <right style="thin">
        <color indexed="64"/>
      </right>
      <top style="medium">
        <color indexed="64"/>
      </top>
      <bottom style="thin">
        <color indexed="64"/>
      </bottom>
      <diagonal/>
    </border>
    <border>
      <left style="thin">
        <color auto="1"/>
      </left>
      <right style="medium">
        <color indexed="64"/>
      </right>
      <top/>
      <bottom/>
      <diagonal/>
    </border>
    <border>
      <left/>
      <right style="medium">
        <color indexed="64"/>
      </right>
      <top/>
      <bottom/>
      <diagonal/>
    </border>
    <border>
      <left style="thin">
        <color auto="1"/>
      </left>
      <right style="double">
        <color auto="1"/>
      </right>
      <top style="thin">
        <color auto="1"/>
      </top>
      <bottom style="medium">
        <color indexed="64"/>
      </bottom>
      <diagonal/>
    </border>
    <border>
      <left style="double">
        <color auto="1"/>
      </left>
      <right style="thin">
        <color auto="1"/>
      </right>
      <top style="thin">
        <color auto="1"/>
      </top>
      <bottom style="medium">
        <color indexed="64"/>
      </bottom>
      <diagonal/>
    </border>
    <border>
      <left/>
      <right style="double">
        <color auto="1"/>
      </right>
      <top/>
      <bottom/>
      <diagonal/>
    </border>
    <border>
      <left style="medium">
        <color auto="1"/>
      </left>
      <right style="thin">
        <color auto="1"/>
      </right>
      <top/>
      <bottom/>
      <diagonal/>
    </border>
    <border>
      <left style="thin">
        <color auto="1"/>
      </left>
      <right style="thin">
        <color auto="1"/>
      </right>
      <top/>
      <bottom/>
      <diagonal/>
    </border>
    <border>
      <left/>
      <right style="medium">
        <color indexed="64"/>
      </right>
      <top style="thin">
        <color auto="1"/>
      </top>
      <bottom/>
      <diagonal/>
    </border>
    <border>
      <left/>
      <right style="medium">
        <color indexed="64"/>
      </right>
      <top/>
      <bottom style="thin">
        <color indexed="64"/>
      </bottom>
      <diagonal/>
    </border>
    <border>
      <left/>
      <right style="medium">
        <color indexed="64"/>
      </right>
      <top style="thin">
        <color auto="1"/>
      </top>
      <bottom style="medium">
        <color indexed="64"/>
      </bottom>
      <diagonal/>
    </border>
    <border>
      <left/>
      <right/>
      <top/>
      <bottom style="thin">
        <color auto="1"/>
      </bottom>
      <diagonal/>
    </border>
    <border>
      <left/>
      <right style="thin">
        <color auto="1"/>
      </right>
      <top/>
      <bottom style="thin">
        <color auto="1"/>
      </bottom>
      <diagonal/>
    </border>
    <border>
      <left/>
      <right style="double">
        <color auto="1"/>
      </right>
      <top style="thin">
        <color auto="1"/>
      </top>
      <bottom/>
      <diagonal/>
    </border>
    <border>
      <left/>
      <right style="double">
        <color auto="1"/>
      </right>
      <top/>
      <bottom style="thin">
        <color auto="1"/>
      </bottom>
      <diagonal/>
    </border>
    <border>
      <left style="thin">
        <color auto="1"/>
      </left>
      <right/>
      <top/>
      <bottom/>
      <diagonal/>
    </border>
  </borders>
  <cellStyleXfs count="5">
    <xf numFmtId="0" fontId="0" fillId="0" borderId="0"/>
    <xf numFmtId="41"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cellStyleXfs>
  <cellXfs count="624">
    <xf numFmtId="0" fontId="0" fillId="0" borderId="0" xfId="0"/>
    <xf numFmtId="0" fontId="3" fillId="0" borderId="0" xfId="0" applyFont="1" applyBorder="1" applyAlignment="1">
      <alignment vertical="center"/>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14" xfId="0" applyFont="1" applyBorder="1" applyAlignment="1">
      <alignment vertical="center" wrapText="1"/>
    </xf>
    <xf numFmtId="0" fontId="8" fillId="0" borderId="15" xfId="0" applyFont="1" applyFill="1" applyBorder="1" applyAlignment="1">
      <alignment horizontal="center" vertical="center" wrapText="1"/>
    </xf>
    <xf numFmtId="0" fontId="9" fillId="0" borderId="15" xfId="0" applyFont="1" applyBorder="1" applyAlignment="1">
      <alignment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9" fillId="3" borderId="16" xfId="0" applyFont="1" applyFill="1" applyBorder="1" applyAlignment="1">
      <alignment vertical="center" wrapText="1"/>
    </xf>
    <xf numFmtId="0" fontId="9" fillId="3" borderId="17" xfId="0" applyFont="1" applyFill="1" applyBorder="1" applyAlignment="1">
      <alignment vertical="center" wrapText="1"/>
    </xf>
    <xf numFmtId="0" fontId="9" fillId="3" borderId="18" xfId="0" applyFont="1" applyFill="1" applyBorder="1" applyAlignment="1">
      <alignment horizontal="center" vertical="center" wrapText="1"/>
    </xf>
    <xf numFmtId="0" fontId="9" fillId="3" borderId="5" xfId="0" applyFont="1" applyFill="1" applyBorder="1" applyAlignment="1">
      <alignment vertical="center" wrapText="1"/>
    </xf>
    <xf numFmtId="0" fontId="9" fillId="3" borderId="6"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19" xfId="0" applyFont="1" applyFill="1" applyBorder="1" applyAlignment="1">
      <alignment vertical="center" wrapText="1"/>
    </xf>
    <xf numFmtId="0" fontId="9" fillId="3" borderId="20" xfId="0" applyFont="1" applyFill="1" applyBorder="1" applyAlignment="1">
      <alignment vertical="center" wrapText="1"/>
    </xf>
    <xf numFmtId="0" fontId="9" fillId="3" borderId="21" xfId="0" applyFont="1" applyFill="1" applyBorder="1" applyAlignment="1">
      <alignment horizontal="center" vertical="center" wrapText="1"/>
    </xf>
    <xf numFmtId="0" fontId="9" fillId="4" borderId="17" xfId="0" applyFont="1" applyFill="1" applyBorder="1" applyAlignment="1">
      <alignment vertical="center" wrapText="1"/>
    </xf>
    <xf numFmtId="0" fontId="9" fillId="4" borderId="18" xfId="0" applyFont="1" applyFill="1" applyBorder="1" applyAlignment="1">
      <alignment horizontal="center" vertical="center" wrapText="1"/>
    </xf>
    <xf numFmtId="0" fontId="9" fillId="4" borderId="6" xfId="0" applyFont="1" applyFill="1" applyBorder="1" applyAlignment="1">
      <alignment vertical="center" wrapText="1"/>
    </xf>
    <xf numFmtId="0" fontId="9" fillId="4" borderId="7" xfId="0" applyFont="1" applyFill="1" applyBorder="1" applyAlignment="1">
      <alignment horizontal="center" vertical="center" wrapText="1"/>
    </xf>
    <xf numFmtId="0" fontId="9" fillId="4" borderId="20" xfId="0" applyFont="1" applyFill="1" applyBorder="1" applyAlignment="1">
      <alignment vertical="center" wrapText="1"/>
    </xf>
    <xf numFmtId="0" fontId="9" fillId="4" borderId="21" xfId="0" applyFont="1" applyFill="1" applyBorder="1" applyAlignment="1">
      <alignment horizontal="center" vertical="center" wrapText="1"/>
    </xf>
    <xf numFmtId="0" fontId="9" fillId="7" borderId="16" xfId="0" applyFont="1" applyFill="1" applyBorder="1" applyAlignment="1">
      <alignment vertical="center" wrapText="1"/>
    </xf>
    <xf numFmtId="0" fontId="9" fillId="7" borderId="17" xfId="0" applyFont="1" applyFill="1" applyBorder="1" applyAlignment="1">
      <alignment vertical="center" wrapText="1"/>
    </xf>
    <xf numFmtId="0" fontId="9" fillId="7" borderId="18" xfId="0" applyFont="1" applyFill="1" applyBorder="1" applyAlignment="1">
      <alignment horizontal="center" vertical="center" wrapText="1"/>
    </xf>
    <xf numFmtId="0" fontId="9" fillId="7" borderId="5" xfId="0" applyFont="1" applyFill="1" applyBorder="1" applyAlignment="1">
      <alignment vertical="center" wrapText="1"/>
    </xf>
    <xf numFmtId="0" fontId="9" fillId="7" borderId="6" xfId="0" applyFont="1" applyFill="1" applyBorder="1" applyAlignment="1">
      <alignment vertical="center" wrapText="1"/>
    </xf>
    <xf numFmtId="0" fontId="9" fillId="7" borderId="7" xfId="0" applyFont="1" applyFill="1" applyBorder="1" applyAlignment="1">
      <alignment horizontal="center" vertical="center" wrapText="1"/>
    </xf>
    <xf numFmtId="0" fontId="9" fillId="7" borderId="19" xfId="0" applyFont="1" applyFill="1" applyBorder="1" applyAlignment="1">
      <alignment vertical="center" wrapText="1"/>
    </xf>
    <xf numFmtId="0" fontId="9" fillId="7" borderId="20" xfId="0" applyFont="1" applyFill="1" applyBorder="1" applyAlignment="1">
      <alignment vertical="center" wrapText="1"/>
    </xf>
    <xf numFmtId="0" fontId="9" fillId="7" borderId="21" xfId="0" applyFont="1" applyFill="1" applyBorder="1" applyAlignment="1">
      <alignment horizontal="center" vertical="center" wrapText="1"/>
    </xf>
    <xf numFmtId="0" fontId="9" fillId="8" borderId="16" xfId="0" applyFont="1" applyFill="1" applyBorder="1" applyAlignment="1">
      <alignment vertical="center" wrapText="1"/>
    </xf>
    <xf numFmtId="0" fontId="9" fillId="8" borderId="17" xfId="0" applyFont="1" applyFill="1" applyBorder="1" applyAlignment="1">
      <alignment vertical="center" wrapText="1"/>
    </xf>
    <xf numFmtId="0" fontId="9" fillId="8" borderId="18" xfId="0" applyFont="1" applyFill="1" applyBorder="1" applyAlignment="1">
      <alignment horizontal="center" vertical="center" wrapText="1"/>
    </xf>
    <xf numFmtId="0" fontId="9" fillId="8" borderId="19" xfId="0" applyFont="1" applyFill="1" applyBorder="1" applyAlignment="1">
      <alignment vertical="center" wrapText="1"/>
    </xf>
    <xf numFmtId="0" fontId="9" fillId="8" borderId="20" xfId="0" applyFont="1" applyFill="1" applyBorder="1" applyAlignment="1">
      <alignment vertical="center" wrapText="1"/>
    </xf>
    <xf numFmtId="0" fontId="9" fillId="8" borderId="21" xfId="0" applyFont="1" applyFill="1" applyBorder="1" applyAlignment="1">
      <alignment horizontal="center" vertical="center" wrapText="1"/>
    </xf>
    <xf numFmtId="0" fontId="9" fillId="9" borderId="22" xfId="0" applyFont="1" applyFill="1" applyBorder="1" applyAlignment="1">
      <alignment vertical="center" wrapText="1"/>
    </xf>
    <xf numFmtId="0" fontId="9" fillId="9" borderId="23" xfId="0" applyFont="1" applyFill="1" applyBorder="1" applyAlignment="1">
      <alignment vertical="center" wrapText="1"/>
    </xf>
    <xf numFmtId="0" fontId="9" fillId="9" borderId="2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6" xfId="0" applyFont="1" applyBorder="1" applyAlignment="1">
      <alignment horizontal="center" vertical="center" wrapText="1"/>
    </xf>
    <xf numFmtId="0" fontId="9" fillId="0" borderId="25"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4" xfId="0" applyFont="1" applyFill="1" applyBorder="1" applyAlignment="1">
      <alignment horizontal="left" vertical="center" wrapText="1"/>
    </xf>
    <xf numFmtId="0" fontId="8" fillId="9" borderId="6" xfId="0" applyFont="1" applyFill="1" applyBorder="1" applyAlignment="1">
      <alignment vertical="center" wrapText="1"/>
    </xf>
    <xf numFmtId="0" fontId="11"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6" xfId="0" applyFont="1" applyFill="1" applyBorder="1" applyAlignment="1">
      <alignment vertical="center" wrapText="1"/>
    </xf>
    <xf numFmtId="0" fontId="11" fillId="5" borderId="4" xfId="0" applyFont="1" applyFill="1" applyBorder="1" applyAlignment="1">
      <alignment horizontal="left"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6" xfId="0" applyFont="1" applyFill="1" applyBorder="1" applyAlignment="1">
      <alignment vertical="center" wrapText="1"/>
    </xf>
    <xf numFmtId="0" fontId="8" fillId="1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Border="1" applyAlignment="1">
      <alignment vertical="center" wrapText="1"/>
    </xf>
    <xf numFmtId="0" fontId="8" fillId="0" borderId="6" xfId="0" applyFont="1" applyBorder="1" applyAlignment="1">
      <alignment horizontal="center" vertical="center" wrapText="1"/>
    </xf>
    <xf numFmtId="164" fontId="14" fillId="0" borderId="36" xfId="2" applyNumberFormat="1" applyFont="1" applyBorder="1" applyAlignment="1">
      <alignment vertical="center" wrapText="1"/>
    </xf>
    <xf numFmtId="164" fontId="14" fillId="0" borderId="6" xfId="2" applyNumberFormat="1" applyFont="1" applyBorder="1" applyAlignment="1">
      <alignment vertical="center" wrapText="1"/>
    </xf>
    <xf numFmtId="164" fontId="15" fillId="0" borderId="36" xfId="2" applyNumberFormat="1" applyFont="1" applyBorder="1" applyAlignment="1">
      <alignment vertical="center" wrapText="1"/>
    </xf>
    <xf numFmtId="164" fontId="15" fillId="0" borderId="6" xfId="2" applyNumberFormat="1" applyFont="1" applyBorder="1" applyAlignment="1">
      <alignment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164" fontId="14" fillId="0" borderId="6" xfId="2" applyNumberFormat="1" applyFont="1" applyFill="1" applyBorder="1" applyAlignment="1">
      <alignment vertical="center" wrapText="1"/>
    </xf>
    <xf numFmtId="0" fontId="16"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9" xfId="0" applyFont="1" applyFill="1" applyBorder="1" applyAlignment="1">
      <alignment horizontal="left" vertical="center" wrapText="1"/>
    </xf>
    <xf numFmtId="164" fontId="14" fillId="0" borderId="36" xfId="2" applyNumberFormat="1" applyFont="1" applyFill="1" applyBorder="1" applyAlignment="1">
      <alignment vertical="center" wrapText="1"/>
    </xf>
    <xf numFmtId="164" fontId="14" fillId="0" borderId="51" xfId="2" applyNumberFormat="1" applyFont="1" applyBorder="1" applyAlignment="1">
      <alignment vertical="center" wrapText="1"/>
    </xf>
    <xf numFmtId="164" fontId="14" fillId="0" borderId="44" xfId="2" applyNumberFormat="1" applyFont="1" applyBorder="1" applyAlignment="1">
      <alignment vertical="center" wrapText="1"/>
    </xf>
    <xf numFmtId="164" fontId="14" fillId="0" borderId="53" xfId="2" applyNumberFormat="1" applyFont="1" applyBorder="1" applyAlignment="1">
      <alignment vertical="center" wrapText="1"/>
    </xf>
    <xf numFmtId="164" fontId="14" fillId="0" borderId="47" xfId="2" applyNumberFormat="1" applyFont="1" applyBorder="1" applyAlignment="1">
      <alignment vertical="center" wrapText="1"/>
    </xf>
    <xf numFmtId="0" fontId="9" fillId="0" borderId="50"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4" xfId="0" applyFont="1" applyBorder="1" applyAlignment="1">
      <alignment horizontal="center" vertical="center" wrapText="1"/>
    </xf>
    <xf numFmtId="0" fontId="9" fillId="0" borderId="55" xfId="0" applyFont="1" applyFill="1" applyBorder="1" applyAlignment="1">
      <alignment horizontal="left" vertical="center" wrapText="1"/>
    </xf>
    <xf numFmtId="0" fontId="9" fillId="0" borderId="49"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4" fillId="0" borderId="6" xfId="0" applyFont="1" applyBorder="1" applyAlignment="1">
      <alignment vertical="center" wrapText="1"/>
    </xf>
    <xf numFmtId="0" fontId="17" fillId="9" borderId="4" xfId="0" applyFont="1" applyFill="1" applyBorder="1" applyAlignment="1">
      <alignment vertical="center" wrapText="1"/>
    </xf>
    <xf numFmtId="0" fontId="17" fillId="9" borderId="40" xfId="0" applyFont="1" applyFill="1" applyBorder="1" applyAlignment="1">
      <alignment vertical="center" wrapText="1"/>
    </xf>
    <xf numFmtId="0" fontId="19" fillId="0" borderId="6" xfId="0" applyFont="1" applyBorder="1" applyAlignment="1">
      <alignment vertical="center" wrapText="1"/>
    </xf>
    <xf numFmtId="0" fontId="20" fillId="0" borderId="6" xfId="0" applyFont="1" applyBorder="1" applyAlignment="1">
      <alignment vertical="center" wrapText="1"/>
    </xf>
    <xf numFmtId="0" fontId="9" fillId="0" borderId="0" xfId="0" applyFont="1" applyBorder="1" applyAlignment="1">
      <alignment vertical="center"/>
    </xf>
    <xf numFmtId="0" fontId="9" fillId="0" borderId="0" xfId="0" applyFont="1" applyFill="1" applyBorder="1" applyAlignment="1">
      <alignment vertical="center"/>
    </xf>
    <xf numFmtId="0" fontId="8" fillId="2" borderId="38"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3" borderId="6" xfId="0" applyFont="1" applyFill="1" applyBorder="1" applyAlignment="1">
      <alignment horizontal="center" vertical="center" textRotation="255" wrapText="1"/>
    </xf>
    <xf numFmtId="0" fontId="8" fillId="3" borderId="7" xfId="0" applyFont="1" applyFill="1" applyBorder="1" applyAlignment="1">
      <alignment horizontal="center" vertical="center" textRotation="255" wrapText="1"/>
    </xf>
    <xf numFmtId="0" fontId="8" fillId="4" borderId="6" xfId="0" applyFont="1" applyFill="1" applyBorder="1" applyAlignment="1">
      <alignment horizontal="center" vertical="center" textRotation="90" wrapText="1"/>
    </xf>
    <xf numFmtId="0" fontId="8" fillId="8" borderId="3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37"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45"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8" borderId="31" xfId="0" applyFont="1" applyFill="1" applyBorder="1" applyAlignment="1">
      <alignment vertical="center" wrapText="1"/>
    </xf>
    <xf numFmtId="0" fontId="8" fillId="8" borderId="7" xfId="0" applyFont="1" applyFill="1" applyBorder="1" applyAlignment="1">
      <alignment horizontal="center" vertical="center" wrapText="1"/>
    </xf>
    <xf numFmtId="0" fontId="8" fillId="9" borderId="4" xfId="0" applyFont="1" applyFill="1" applyBorder="1" applyAlignment="1">
      <alignment vertical="center" wrapText="1"/>
    </xf>
    <xf numFmtId="0" fontId="8" fillId="9" borderId="40" xfId="0" applyFont="1" applyFill="1" applyBorder="1" applyAlignment="1">
      <alignment vertical="center" wrapText="1"/>
    </xf>
    <xf numFmtId="0" fontId="8" fillId="9" borderId="5" xfId="0" applyFont="1" applyFill="1" applyBorder="1" applyAlignment="1">
      <alignment vertical="center" wrapText="1"/>
    </xf>
    <xf numFmtId="0" fontId="9" fillId="9" borderId="6" xfId="0" applyFont="1" applyFill="1" applyBorder="1" applyAlignment="1">
      <alignment vertical="center"/>
    </xf>
    <xf numFmtId="0" fontId="21" fillId="9" borderId="6" xfId="0" applyFont="1" applyFill="1" applyBorder="1" applyAlignment="1">
      <alignment vertical="center" wrapText="1"/>
    </xf>
    <xf numFmtId="0" fontId="9" fillId="9" borderId="5" xfId="0" applyFont="1" applyFill="1" applyBorder="1" applyAlignment="1">
      <alignment vertical="center" wrapText="1"/>
    </xf>
    <xf numFmtId="0" fontId="9" fillId="9" borderId="6" xfId="0" applyFont="1" applyFill="1" applyBorder="1" applyAlignment="1">
      <alignment vertical="center" wrapText="1"/>
    </xf>
    <xf numFmtId="0" fontId="9" fillId="9" borderId="7" xfId="0" applyFont="1" applyFill="1" applyBorder="1" applyAlignment="1">
      <alignment vertical="center" wrapText="1"/>
    </xf>
    <xf numFmtId="0" fontId="9" fillId="9" borderId="5" xfId="0" applyFont="1" applyFill="1" applyBorder="1" applyAlignment="1">
      <alignment vertical="center"/>
    </xf>
    <xf numFmtId="0" fontId="9" fillId="9" borderId="7" xfId="0" applyFont="1" applyFill="1" applyBorder="1" applyAlignment="1">
      <alignment vertical="center"/>
    </xf>
    <xf numFmtId="41" fontId="9" fillId="9" borderId="6" xfId="1" applyFont="1" applyFill="1" applyBorder="1" applyAlignment="1">
      <alignment vertical="center"/>
    </xf>
    <xf numFmtId="0" fontId="9" fillId="9" borderId="6" xfId="0" applyFont="1" applyFill="1" applyBorder="1" applyAlignment="1">
      <alignment horizontal="center" vertical="center"/>
    </xf>
    <xf numFmtId="41" fontId="9" fillId="9" borderId="37" xfId="0" applyNumberFormat="1" applyFont="1" applyFill="1" applyBorder="1" applyAlignment="1">
      <alignment vertical="center"/>
    </xf>
    <xf numFmtId="41" fontId="9" fillId="9" borderId="36" xfId="1" applyFont="1" applyFill="1" applyBorder="1" applyAlignment="1">
      <alignment vertical="center"/>
    </xf>
    <xf numFmtId="41" fontId="9" fillId="9" borderId="37" xfId="1" applyFont="1" applyFill="1" applyBorder="1" applyAlignment="1">
      <alignment vertical="center"/>
    </xf>
    <xf numFmtId="0" fontId="9" fillId="9" borderId="36" xfId="0" applyFont="1" applyFill="1" applyBorder="1" applyAlignment="1">
      <alignment vertical="center"/>
    </xf>
    <xf numFmtId="0" fontId="9" fillId="9" borderId="37" xfId="0" applyFont="1" applyFill="1" applyBorder="1" applyAlignment="1">
      <alignment vertical="center"/>
    </xf>
    <xf numFmtId="164" fontId="9" fillId="9" borderId="6" xfId="0" applyNumberFormat="1" applyFont="1" applyFill="1" applyBorder="1" applyAlignment="1">
      <alignment vertical="center"/>
    </xf>
    <xf numFmtId="41" fontId="9" fillId="9" borderId="6" xfId="0" applyNumberFormat="1" applyFont="1" applyFill="1" applyBorder="1" applyAlignment="1">
      <alignment vertical="center"/>
    </xf>
    <xf numFmtId="0" fontId="9" fillId="9" borderId="4" xfId="0" applyFont="1" applyFill="1" applyBorder="1" applyAlignment="1">
      <alignment vertical="center"/>
    </xf>
    <xf numFmtId="0" fontId="11" fillId="5" borderId="4" xfId="0" applyFont="1" applyFill="1" applyBorder="1" applyAlignment="1">
      <alignment vertical="center" wrapText="1"/>
    </xf>
    <xf numFmtId="0" fontId="11" fillId="5" borderId="40" xfId="0" applyFont="1" applyFill="1" applyBorder="1" applyAlignment="1">
      <alignment vertical="center" wrapText="1"/>
    </xf>
    <xf numFmtId="0" fontId="9" fillId="5" borderId="6" xfId="0" applyFont="1" applyFill="1" applyBorder="1" applyAlignment="1">
      <alignment vertical="center"/>
    </xf>
    <xf numFmtId="0" fontId="22" fillId="5" borderId="6" xfId="0" applyFont="1" applyFill="1" applyBorder="1" applyAlignment="1">
      <alignment vertical="center" wrapText="1"/>
    </xf>
    <xf numFmtId="0" fontId="1" fillId="5" borderId="5" xfId="0" applyFont="1" applyFill="1" applyBorder="1" applyAlignment="1">
      <alignment vertical="center" wrapText="1"/>
    </xf>
    <xf numFmtId="0" fontId="1" fillId="5" borderId="6" xfId="0" applyFont="1" applyFill="1" applyBorder="1" applyAlignment="1">
      <alignment vertical="center" wrapText="1"/>
    </xf>
    <xf numFmtId="0" fontId="1" fillId="5" borderId="7" xfId="0" applyFont="1" applyFill="1" applyBorder="1" applyAlignment="1">
      <alignment vertical="center" wrapText="1"/>
    </xf>
    <xf numFmtId="0" fontId="9" fillId="5" borderId="5" xfId="0" applyFont="1" applyFill="1" applyBorder="1" applyAlignment="1">
      <alignment vertical="center"/>
    </xf>
    <xf numFmtId="0" fontId="9" fillId="5" borderId="7" xfId="0" applyFont="1" applyFill="1" applyBorder="1" applyAlignment="1">
      <alignment vertical="center"/>
    </xf>
    <xf numFmtId="41" fontId="9" fillId="5" borderId="6" xfId="1" applyFont="1" applyFill="1" applyBorder="1" applyAlignment="1">
      <alignment vertical="center"/>
    </xf>
    <xf numFmtId="0" fontId="9" fillId="5" borderId="40" xfId="0" applyFont="1" applyFill="1" applyBorder="1" applyAlignment="1">
      <alignment vertical="center"/>
    </xf>
    <xf numFmtId="0" fontId="11" fillId="5" borderId="6" xfId="0" applyFont="1" applyFill="1" applyBorder="1" applyAlignment="1">
      <alignment vertical="center" wrapText="1"/>
    </xf>
    <xf numFmtId="0" fontId="9" fillId="5" borderId="6" xfId="0" applyFont="1" applyFill="1" applyBorder="1" applyAlignment="1">
      <alignment horizontal="center" vertical="center"/>
    </xf>
    <xf numFmtId="41" fontId="9" fillId="5" borderId="37" xfId="1" applyFont="1" applyFill="1" applyBorder="1" applyAlignment="1">
      <alignment vertical="center"/>
    </xf>
    <xf numFmtId="41" fontId="9" fillId="5" borderId="36" xfId="1" applyFont="1" applyFill="1" applyBorder="1" applyAlignment="1">
      <alignment vertical="center"/>
    </xf>
    <xf numFmtId="0" fontId="9" fillId="5" borderId="36" xfId="0" applyFont="1" applyFill="1" applyBorder="1" applyAlignment="1">
      <alignment vertical="center"/>
    </xf>
    <xf numFmtId="0" fontId="9" fillId="5" borderId="37" xfId="0" applyFont="1" applyFill="1" applyBorder="1" applyAlignment="1">
      <alignment vertical="center"/>
    </xf>
    <xf numFmtId="164" fontId="9" fillId="5" borderId="6" xfId="0" applyNumberFormat="1" applyFont="1" applyFill="1" applyBorder="1" applyAlignment="1">
      <alignment vertical="center"/>
    </xf>
    <xf numFmtId="41" fontId="9" fillId="5" borderId="6" xfId="0" applyNumberFormat="1" applyFont="1" applyFill="1" applyBorder="1" applyAlignment="1">
      <alignment vertical="center"/>
    </xf>
    <xf numFmtId="0" fontId="9" fillId="5" borderId="4" xfId="0" applyFont="1" applyFill="1" applyBorder="1" applyAlignment="1">
      <alignment vertical="center"/>
    </xf>
    <xf numFmtId="0" fontId="9" fillId="0" borderId="27" xfId="0" applyFont="1" applyBorder="1" applyAlignment="1">
      <alignment horizontal="justify" vertical="center" wrapText="1"/>
    </xf>
    <xf numFmtId="0" fontId="9" fillId="0" borderId="41" xfId="0" applyFont="1" applyBorder="1" applyAlignment="1">
      <alignment horizontal="justify" vertical="center" wrapTex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9" fillId="0" borderId="50" xfId="0" applyFont="1" applyFill="1" applyBorder="1" applyAlignment="1">
      <alignment vertical="center" wrapText="1"/>
    </xf>
    <xf numFmtId="0" fontId="23" fillId="0" borderId="50" xfId="0" applyFont="1" applyFill="1" applyBorder="1" applyAlignment="1">
      <alignment horizontal="center" vertical="center" wrapText="1"/>
    </xf>
    <xf numFmtId="0" fontId="9" fillId="0" borderId="44" xfId="0" applyFont="1" applyFill="1" applyBorder="1" applyAlignment="1">
      <alignment horizontal="justify" vertical="center" wrapText="1"/>
    </xf>
    <xf numFmtId="41" fontId="9" fillId="0" borderId="6" xfId="1" applyFont="1" applyFill="1" applyBorder="1" applyAlignment="1">
      <alignment horizontal="center" vertical="center" wrapText="1"/>
    </xf>
    <xf numFmtId="0" fontId="9" fillId="0" borderId="44" xfId="0" applyFont="1" applyBorder="1" applyAlignment="1">
      <alignment vertical="center" wrapText="1"/>
    </xf>
    <xf numFmtId="0" fontId="9" fillId="0" borderId="52" xfId="0" applyFont="1" applyFill="1" applyBorder="1" applyAlignment="1">
      <alignment horizontal="justify" vertical="center" wrapText="1"/>
    </xf>
    <xf numFmtId="41" fontId="9" fillId="0" borderId="51" xfId="1" applyFont="1" applyFill="1" applyBorder="1" applyAlignment="1">
      <alignment horizontal="center" vertical="center" wrapText="1"/>
    </xf>
    <xf numFmtId="41" fontId="9" fillId="0" borderId="44" xfId="1" applyFont="1" applyFill="1" applyBorder="1" applyAlignment="1">
      <alignment horizontal="center" vertical="center" wrapText="1"/>
    </xf>
    <xf numFmtId="41" fontId="9" fillId="0" borderId="52" xfId="1" applyFont="1" applyFill="1" applyBorder="1" applyAlignment="1">
      <alignment horizontal="center" vertical="center" wrapText="1"/>
    </xf>
    <xf numFmtId="0" fontId="9" fillId="0" borderId="51" xfId="0" applyFont="1" applyFill="1" applyBorder="1" applyAlignment="1">
      <alignment horizontal="center" vertical="center" wrapText="1"/>
    </xf>
    <xf numFmtId="9" fontId="9" fillId="0" borderId="44" xfId="0" applyNumberFormat="1" applyFont="1" applyFill="1" applyBorder="1" applyAlignment="1">
      <alignment horizontal="center" vertical="center" wrapText="1"/>
    </xf>
    <xf numFmtId="0" fontId="9" fillId="0" borderId="52" xfId="0" applyFont="1" applyFill="1" applyBorder="1" applyAlignment="1">
      <alignment horizontal="center" vertical="center" wrapText="1"/>
    </xf>
    <xf numFmtId="164" fontId="9" fillId="0" borderId="51" xfId="2" applyNumberFormat="1" applyFont="1" applyBorder="1" applyAlignment="1">
      <alignment vertical="center" wrapText="1"/>
    </xf>
    <xf numFmtId="164" fontId="9" fillId="0" borderId="44" xfId="2" applyNumberFormat="1" applyFont="1" applyBorder="1" applyAlignment="1">
      <alignment vertical="center" wrapText="1"/>
    </xf>
    <xf numFmtId="41" fontId="9" fillId="0" borderId="44" xfId="1" applyFont="1" applyFill="1" applyBorder="1" applyAlignment="1">
      <alignment horizontal="justify" vertical="center" wrapText="1"/>
    </xf>
    <xf numFmtId="0" fontId="9" fillId="0" borderId="50" xfId="0" applyFont="1" applyFill="1" applyBorder="1" applyAlignment="1">
      <alignment horizontal="justify" vertical="center" wrapText="1"/>
    </xf>
    <xf numFmtId="0" fontId="9" fillId="0" borderId="27" xfId="0" applyFont="1" applyFill="1" applyBorder="1" applyAlignment="1">
      <alignment vertical="center" wrapText="1"/>
    </xf>
    <xf numFmtId="0" fontId="9" fillId="0" borderId="9" xfId="0" applyFont="1" applyBorder="1" applyAlignment="1">
      <alignment horizontal="justify" vertical="center" wrapText="1"/>
    </xf>
    <xf numFmtId="0" fontId="9" fillId="0" borderId="39" xfId="0" applyFont="1" applyBorder="1" applyAlignment="1">
      <alignment horizontal="justify" vertical="center" wrapText="1"/>
    </xf>
    <xf numFmtId="0" fontId="9" fillId="0" borderId="48" xfId="0" applyFont="1" applyFill="1" applyBorder="1" applyAlignment="1">
      <alignment vertical="center" wrapText="1"/>
    </xf>
    <xf numFmtId="0" fontId="9" fillId="0" borderId="47" xfId="0" applyFont="1" applyFill="1" applyBorder="1" applyAlignment="1">
      <alignment vertical="center" wrapText="1"/>
    </xf>
    <xf numFmtId="0" fontId="9" fillId="0" borderId="49" xfId="0" applyFont="1" applyFill="1" applyBorder="1" applyAlignment="1">
      <alignment vertical="center" wrapText="1"/>
    </xf>
    <xf numFmtId="0" fontId="23" fillId="0" borderId="49" xfId="0" applyFont="1" applyFill="1" applyBorder="1" applyAlignment="1">
      <alignment horizontal="center" vertical="center" wrapText="1"/>
    </xf>
    <xf numFmtId="0" fontId="9" fillId="0" borderId="47" xfId="0" applyFont="1" applyFill="1" applyBorder="1" applyAlignment="1">
      <alignment horizontal="justify" vertical="center" wrapText="1"/>
    </xf>
    <xf numFmtId="0" fontId="9" fillId="0" borderId="47" xfId="0" applyFont="1" applyBorder="1" applyAlignment="1">
      <alignment vertical="center" wrapText="1"/>
    </xf>
    <xf numFmtId="0" fontId="9" fillId="0" borderId="54" xfId="0" applyFont="1" applyFill="1" applyBorder="1" applyAlignment="1">
      <alignment horizontal="justify" vertical="center" wrapText="1"/>
    </xf>
    <xf numFmtId="41" fontId="9" fillId="0" borderId="53" xfId="1" applyFont="1" applyFill="1" applyBorder="1" applyAlignment="1">
      <alignment horizontal="center" vertical="center" wrapText="1"/>
    </xf>
    <xf numFmtId="41" fontId="9" fillId="0" borderId="47" xfId="1" applyFont="1" applyFill="1" applyBorder="1" applyAlignment="1">
      <alignment horizontal="center" vertical="center" wrapText="1"/>
    </xf>
    <xf numFmtId="41" fontId="9" fillId="0" borderId="54" xfId="1" applyFont="1" applyFill="1" applyBorder="1" applyAlignment="1">
      <alignment horizontal="center" vertical="center" wrapText="1"/>
    </xf>
    <xf numFmtId="0" fontId="9" fillId="0" borderId="53" xfId="0" applyFont="1" applyFill="1" applyBorder="1" applyAlignment="1">
      <alignment horizontal="center" vertical="center" wrapText="1"/>
    </xf>
    <xf numFmtId="9" fontId="9" fillId="0" borderId="47" xfId="0" applyNumberFormat="1" applyFont="1" applyFill="1" applyBorder="1" applyAlignment="1">
      <alignment horizontal="center" vertical="center" wrapText="1"/>
    </xf>
    <xf numFmtId="0" fontId="9" fillId="0" borderId="54" xfId="0" applyFont="1" applyFill="1" applyBorder="1" applyAlignment="1">
      <alignment horizontal="center" vertical="center" wrapText="1"/>
    </xf>
    <xf numFmtId="164" fontId="9" fillId="0" borderId="53" xfId="2" applyNumberFormat="1" applyFont="1" applyBorder="1" applyAlignment="1">
      <alignment vertical="center" wrapText="1"/>
    </xf>
    <xf numFmtId="164" fontId="9" fillId="0" borderId="47" xfId="2" applyNumberFormat="1" applyFont="1" applyBorder="1" applyAlignment="1">
      <alignment vertical="center" wrapText="1"/>
    </xf>
    <xf numFmtId="41" fontId="9" fillId="0" borderId="47" xfId="1" applyFont="1" applyFill="1" applyBorder="1" applyAlignment="1">
      <alignment horizontal="justify" vertical="center" wrapText="1"/>
    </xf>
    <xf numFmtId="0" fontId="9" fillId="0" borderId="49" xfId="0" applyFont="1" applyFill="1" applyBorder="1" applyAlignment="1">
      <alignment horizontal="justify" vertical="center" wrapText="1"/>
    </xf>
    <xf numFmtId="0" fontId="9" fillId="0" borderId="9" xfId="0" applyFont="1" applyFill="1" applyBorder="1" applyAlignment="1">
      <alignment vertical="center"/>
    </xf>
    <xf numFmtId="0" fontId="9" fillId="0" borderId="4" xfId="0" applyFont="1" applyBorder="1" applyAlignment="1">
      <alignment horizontal="justify" vertical="center" wrapText="1"/>
    </xf>
    <xf numFmtId="0" fontId="9" fillId="0" borderId="40" xfId="0" applyFont="1" applyBorder="1" applyAlignment="1">
      <alignment horizontal="justify"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23" fillId="0" borderId="7" xfId="0" applyFont="1" applyFill="1" applyBorder="1" applyAlignment="1">
      <alignment horizontal="center" vertical="center" wrapText="1"/>
    </xf>
    <xf numFmtId="0" fontId="9" fillId="0" borderId="6" xfId="0" applyFont="1" applyFill="1" applyBorder="1" applyAlignment="1">
      <alignment horizontal="justify" vertical="center" wrapText="1"/>
    </xf>
    <xf numFmtId="0" fontId="9" fillId="0" borderId="28" xfId="0" applyFont="1" applyFill="1" applyBorder="1" applyAlignment="1">
      <alignment horizontal="justify" vertical="center" wrapText="1"/>
    </xf>
    <xf numFmtId="41" fontId="9" fillId="0" borderId="36" xfId="1" applyFont="1" applyFill="1" applyBorder="1" applyAlignment="1">
      <alignment horizontal="center" vertical="center" wrapText="1"/>
    </xf>
    <xf numFmtId="41" fontId="9" fillId="0" borderId="37" xfId="1" applyFont="1" applyFill="1" applyBorder="1" applyAlignment="1">
      <alignment horizontal="center" vertical="center" wrapText="1"/>
    </xf>
    <xf numFmtId="0" fontId="9" fillId="0" borderId="30" xfId="0"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0" fontId="9" fillId="0" borderId="28" xfId="0" applyFont="1" applyFill="1" applyBorder="1" applyAlignment="1">
      <alignment horizontal="center" vertical="center" wrapText="1"/>
    </xf>
    <xf numFmtId="41" fontId="9" fillId="0" borderId="30" xfId="1" applyFont="1" applyFill="1" applyBorder="1" applyAlignment="1">
      <alignment horizontal="center" vertical="center" wrapText="1"/>
    </xf>
    <xf numFmtId="41" fontId="9" fillId="0" borderId="28" xfId="1" applyFont="1" applyFill="1" applyBorder="1" applyAlignment="1">
      <alignment horizontal="center" vertical="center" wrapText="1"/>
    </xf>
    <xf numFmtId="164" fontId="9" fillId="0" borderId="36" xfId="2" applyNumberFormat="1" applyFont="1" applyBorder="1" applyAlignment="1">
      <alignment vertical="center" wrapText="1"/>
    </xf>
    <xf numFmtId="164" fontId="9" fillId="0" borderId="6" xfId="2" applyNumberFormat="1" applyFont="1" applyBorder="1" applyAlignment="1">
      <alignment vertical="center" wrapText="1"/>
    </xf>
    <xf numFmtId="41" fontId="9" fillId="0" borderId="6" xfId="1"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30" xfId="0" applyFont="1" applyFill="1" applyBorder="1" applyAlignment="1">
      <alignment vertical="center"/>
    </xf>
    <xf numFmtId="0" fontId="9" fillId="0" borderId="27" xfId="0" applyFont="1" applyBorder="1" applyAlignment="1">
      <alignment vertical="center" wrapText="1"/>
    </xf>
    <xf numFmtId="0" fontId="9" fillId="0" borderId="41" xfId="0" applyFont="1" applyBorder="1" applyAlignment="1">
      <alignment horizontal="left" vertical="center" wrapText="1"/>
    </xf>
    <xf numFmtId="41" fontId="24" fillId="0" borderId="52" xfId="1" applyFont="1" applyBorder="1" applyAlignment="1">
      <alignment vertical="center"/>
    </xf>
    <xf numFmtId="9" fontId="9" fillId="0" borderId="51" xfId="0" applyNumberFormat="1" applyFont="1" applyFill="1" applyBorder="1" applyAlignment="1">
      <alignment horizontal="center" vertical="center" wrapText="1"/>
    </xf>
    <xf numFmtId="0" fontId="25" fillId="0" borderId="44" xfId="0" applyFont="1" applyFill="1" applyBorder="1" applyAlignment="1">
      <alignment horizontal="center" vertical="center" wrapText="1"/>
    </xf>
    <xf numFmtId="41" fontId="1" fillId="0" borderId="51" xfId="1" applyFont="1" applyFill="1" applyBorder="1" applyAlignment="1">
      <alignment horizontal="center" vertical="center" wrapText="1"/>
    </xf>
    <xf numFmtId="41" fontId="1" fillId="0" borderId="44" xfId="1" applyFont="1" applyFill="1" applyBorder="1" applyAlignment="1">
      <alignment horizontal="center" vertical="center" wrapText="1"/>
    </xf>
    <xf numFmtId="41" fontId="1" fillId="0" borderId="52" xfId="1" applyFont="1" applyFill="1" applyBorder="1" applyAlignment="1">
      <alignment horizontal="center" vertical="center" wrapText="1"/>
    </xf>
    <xf numFmtId="0" fontId="9" fillId="0" borderId="27" xfId="0" applyFont="1" applyBorder="1" applyAlignment="1">
      <alignment vertical="center"/>
    </xf>
    <xf numFmtId="0" fontId="9" fillId="0" borderId="9" xfId="0" applyFont="1" applyBorder="1" applyAlignment="1">
      <alignment vertical="center" wrapText="1"/>
    </xf>
    <xf numFmtId="0" fontId="9" fillId="0" borderId="39" xfId="0" applyFont="1" applyBorder="1" applyAlignment="1">
      <alignment horizontal="left" vertical="center" wrapText="1"/>
    </xf>
    <xf numFmtId="0" fontId="26" fillId="0" borderId="47" xfId="0" applyFont="1" applyFill="1" applyBorder="1" applyAlignment="1">
      <alignment horizontal="left" vertical="center" wrapText="1"/>
    </xf>
    <xf numFmtId="0" fontId="9" fillId="0" borderId="9" xfId="0" applyFont="1" applyBorder="1" applyAlignment="1">
      <alignment vertical="center"/>
    </xf>
    <xf numFmtId="0" fontId="9" fillId="0" borderId="4" xfId="0" applyFont="1" applyFill="1" applyBorder="1" applyAlignment="1">
      <alignment horizontal="justify" vertical="center" wrapText="1"/>
    </xf>
    <xf numFmtId="164" fontId="9" fillId="0" borderId="36" xfId="2" applyNumberFormat="1" applyFont="1" applyFill="1" applyBorder="1" applyAlignment="1">
      <alignment vertical="center" wrapText="1"/>
    </xf>
    <xf numFmtId="164" fontId="9" fillId="0" borderId="6" xfId="2" applyNumberFormat="1" applyFont="1" applyFill="1" applyBorder="1" applyAlignment="1">
      <alignment vertical="center" wrapText="1"/>
    </xf>
    <xf numFmtId="41" fontId="9" fillId="0" borderId="6" xfId="0" applyNumberFormat="1" applyFont="1" applyFill="1" applyBorder="1" applyAlignment="1">
      <alignment horizontal="justify" vertical="center" wrapText="1"/>
    </xf>
    <xf numFmtId="0" fontId="9" fillId="0" borderId="37" xfId="0" applyFont="1" applyFill="1" applyBorder="1" applyAlignment="1">
      <alignment horizontal="justify" vertical="center" wrapText="1"/>
    </xf>
    <xf numFmtId="9" fontId="25" fillId="0" borderId="36"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 xfId="0" applyFont="1" applyBorder="1" applyAlignment="1">
      <alignment vertical="center" wrapText="1"/>
    </xf>
    <xf numFmtId="0" fontId="9" fillId="0" borderId="36" xfId="0" applyFont="1" applyFill="1" applyBorder="1" applyAlignment="1">
      <alignment horizontal="center" vertical="center" wrapText="1"/>
    </xf>
    <xf numFmtId="0" fontId="9" fillId="0" borderId="4" xfId="0" applyFont="1" applyBorder="1" applyAlignment="1">
      <alignment vertical="center"/>
    </xf>
    <xf numFmtId="0" fontId="9" fillId="0" borderId="44" xfId="0" applyFont="1" applyBorder="1" applyAlignment="1">
      <alignment vertical="center"/>
    </xf>
    <xf numFmtId="0" fontId="11" fillId="0" borderId="30" xfId="0" applyFont="1" applyFill="1" applyBorder="1" applyAlignment="1">
      <alignment vertical="center" wrapText="1"/>
    </xf>
    <xf numFmtId="0" fontId="16" fillId="0" borderId="9" xfId="0" applyFont="1" applyBorder="1" applyAlignment="1">
      <alignment horizontal="justify" vertical="center" wrapText="1"/>
    </xf>
    <xf numFmtId="0" fontId="9" fillId="0" borderId="47" xfId="0" applyFont="1" applyBorder="1" applyAlignment="1">
      <alignment vertical="center"/>
    </xf>
    <xf numFmtId="168" fontId="9" fillId="0" borderId="6" xfId="1" applyNumberFormat="1" applyFont="1" applyFill="1" applyBorder="1" applyAlignment="1">
      <alignment horizontal="center" vertical="center" wrapText="1"/>
    </xf>
    <xf numFmtId="41" fontId="9" fillId="0" borderId="28" xfId="1" applyFont="1" applyFill="1" applyBorder="1" applyAlignment="1">
      <alignment horizontal="justify" vertical="center" wrapText="1"/>
    </xf>
    <xf numFmtId="9" fontId="9" fillId="0" borderId="30" xfId="0" applyNumberFormat="1" applyFont="1" applyFill="1" applyBorder="1" applyAlignment="1">
      <alignment horizontal="center" vertical="center" wrapText="1"/>
    </xf>
    <xf numFmtId="41" fontId="9" fillId="5" borderId="7" xfId="1" applyFont="1" applyFill="1" applyBorder="1" applyAlignment="1">
      <alignment vertical="center"/>
    </xf>
    <xf numFmtId="0" fontId="9" fillId="0" borderId="6" xfId="0" applyFont="1" applyBorder="1" applyAlignment="1">
      <alignment vertical="center"/>
    </xf>
    <xf numFmtId="0" fontId="27" fillId="0" borderId="6" xfId="0" applyFont="1" applyBorder="1" applyAlignment="1">
      <alignment vertical="center" wrapText="1"/>
    </xf>
    <xf numFmtId="0" fontId="26" fillId="0" borderId="6" xfId="0" applyFont="1" applyBorder="1" applyAlignment="1">
      <alignment horizontal="left" vertical="center" wrapText="1"/>
    </xf>
    <xf numFmtId="0" fontId="9" fillId="0" borderId="30" xfId="0" applyFont="1" applyBorder="1" applyAlignment="1">
      <alignment vertical="center"/>
    </xf>
    <xf numFmtId="0" fontId="23" fillId="0" borderId="7" xfId="0" applyFont="1" applyBorder="1" applyAlignment="1">
      <alignment horizontal="center" vertical="center" wrapText="1"/>
    </xf>
    <xf numFmtId="41" fontId="9" fillId="0" borderId="7" xfId="1" applyFont="1" applyFill="1" applyBorder="1" applyAlignment="1">
      <alignment horizontal="center" vertical="center" wrapText="1"/>
    </xf>
    <xf numFmtId="0" fontId="27" fillId="0" borderId="4" xfId="0" applyFont="1" applyBorder="1" applyAlignment="1">
      <alignment horizontal="justify" vertical="center" wrapText="1"/>
    </xf>
    <xf numFmtId="9" fontId="25" fillId="0" borderId="36" xfId="3" applyFont="1" applyFill="1" applyBorder="1" applyAlignment="1">
      <alignment horizontal="center" vertical="center" wrapText="1"/>
    </xf>
    <xf numFmtId="41" fontId="9" fillId="9" borderId="7" xfId="1" applyFont="1" applyFill="1" applyBorder="1" applyAlignment="1">
      <alignment vertical="center"/>
    </xf>
    <xf numFmtId="0" fontId="9" fillId="0" borderId="27" xfId="0" applyFont="1" applyFill="1" applyBorder="1" applyAlignment="1">
      <alignment horizontal="justify" vertical="center" wrapText="1"/>
    </xf>
    <xf numFmtId="0" fontId="9" fillId="0" borderId="41" xfId="0" applyFont="1" applyFill="1" applyBorder="1" applyAlignment="1">
      <alignment horizontal="justify" vertical="center" wrapText="1"/>
    </xf>
    <xf numFmtId="0" fontId="9" fillId="0" borderId="6" xfId="0" applyFont="1" applyFill="1" applyBorder="1" applyAlignment="1">
      <alignment horizontal="left" vertical="center" wrapText="1"/>
    </xf>
    <xf numFmtId="0" fontId="28" fillId="0" borderId="6" xfId="0" applyFont="1" applyBorder="1" applyAlignment="1">
      <alignment vertical="center" wrapText="1"/>
    </xf>
    <xf numFmtId="0" fontId="9" fillId="0" borderId="5" xfId="0" applyFont="1" applyFill="1" applyBorder="1" applyAlignment="1">
      <alignment horizontal="left" vertical="center" wrapText="1"/>
    </xf>
    <xf numFmtId="41" fontId="9" fillId="0" borderId="37" xfId="1" applyFont="1" applyFill="1" applyBorder="1" applyAlignment="1">
      <alignment horizontal="justify" vertical="center" wrapText="1"/>
    </xf>
    <xf numFmtId="9" fontId="9" fillId="0" borderId="36" xfId="0" applyNumberFormat="1" applyFont="1" applyFill="1" applyBorder="1" applyAlignment="1">
      <alignment horizontal="center" vertical="center" wrapText="1"/>
    </xf>
    <xf numFmtId="0" fontId="11" fillId="0" borderId="4" xfId="0" applyFont="1" applyFill="1" applyBorder="1" applyAlignment="1">
      <alignment vertical="center" wrapText="1"/>
    </xf>
    <xf numFmtId="41" fontId="9" fillId="0" borderId="6" xfId="1" applyFont="1" applyBorder="1" applyAlignment="1">
      <alignment vertical="center"/>
    </xf>
    <xf numFmtId="166" fontId="9" fillId="0" borderId="37" xfId="0" applyNumberFormat="1" applyFont="1" applyFill="1" applyBorder="1" applyAlignment="1">
      <alignment horizontal="justify" vertical="center" wrapText="1"/>
    </xf>
    <xf numFmtId="9" fontId="9" fillId="0" borderId="36" xfId="3" applyFont="1" applyFill="1" applyBorder="1" applyAlignment="1">
      <alignment horizontal="center" vertical="center" wrapText="1"/>
    </xf>
    <xf numFmtId="0" fontId="9" fillId="0" borderId="40" xfId="0" applyFont="1" applyFill="1" applyBorder="1" applyAlignment="1">
      <alignment horizontal="justify" vertical="center" wrapText="1"/>
    </xf>
    <xf numFmtId="9" fontId="9" fillId="0" borderId="36" xfId="1" applyNumberFormat="1" applyFont="1" applyFill="1" applyBorder="1" applyAlignment="1">
      <alignment horizontal="center" vertical="center" wrapText="1"/>
    </xf>
    <xf numFmtId="9" fontId="9" fillId="0" borderId="6" xfId="1" applyNumberFormat="1" applyFont="1" applyFill="1" applyBorder="1" applyAlignment="1">
      <alignment horizontal="center" vertical="center" wrapText="1"/>
    </xf>
    <xf numFmtId="0" fontId="8" fillId="0" borderId="4" xfId="0" applyFont="1" applyFill="1" applyBorder="1" applyAlignment="1">
      <alignment vertical="center" wrapText="1"/>
    </xf>
    <xf numFmtId="0" fontId="29" fillId="0" borderId="4"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9" fontId="9" fillId="0" borderId="6" xfId="3" applyNumberFormat="1" applyFont="1" applyFill="1" applyBorder="1" applyAlignment="1">
      <alignment horizontal="center" vertical="center" wrapText="1"/>
    </xf>
    <xf numFmtId="9" fontId="9" fillId="0" borderId="30" xfId="3" applyFont="1" applyFill="1" applyBorder="1" applyAlignment="1">
      <alignment horizontal="center" vertical="center" wrapText="1"/>
    </xf>
    <xf numFmtId="0" fontId="8" fillId="10" borderId="4" xfId="0" applyFont="1" applyFill="1" applyBorder="1" applyAlignment="1">
      <alignment vertical="center" wrapText="1"/>
    </xf>
    <xf numFmtId="0" fontId="8" fillId="10" borderId="40" xfId="0" applyFont="1" applyFill="1" applyBorder="1" applyAlignment="1">
      <alignment vertical="center" wrapText="1"/>
    </xf>
    <xf numFmtId="0" fontId="9" fillId="10" borderId="6" xfId="0" applyFont="1" applyFill="1" applyBorder="1" applyAlignment="1">
      <alignment vertical="center"/>
    </xf>
    <xf numFmtId="0" fontId="9" fillId="10" borderId="5" xfId="0" applyFont="1" applyFill="1" applyBorder="1" applyAlignment="1">
      <alignment vertical="center" wrapText="1"/>
    </xf>
    <xf numFmtId="0" fontId="9" fillId="10" borderId="6" xfId="0" applyFont="1" applyFill="1" applyBorder="1" applyAlignment="1">
      <alignment vertical="center" wrapText="1"/>
    </xf>
    <xf numFmtId="0" fontId="9" fillId="10" borderId="7" xfId="0" applyFont="1" applyFill="1" applyBorder="1" applyAlignment="1">
      <alignment vertical="center" wrapText="1"/>
    </xf>
    <xf numFmtId="0" fontId="9" fillId="10" borderId="5" xfId="0" applyFont="1" applyFill="1" applyBorder="1" applyAlignment="1">
      <alignment vertical="center"/>
    </xf>
    <xf numFmtId="0" fontId="9" fillId="10" borderId="7" xfId="0" applyFont="1" applyFill="1" applyBorder="1" applyAlignment="1">
      <alignment vertical="center"/>
    </xf>
    <xf numFmtId="41" fontId="9" fillId="10" borderId="6" xfId="1" applyFont="1" applyFill="1" applyBorder="1" applyAlignment="1">
      <alignment vertical="center"/>
    </xf>
    <xf numFmtId="41" fontId="9" fillId="10" borderId="7" xfId="1" applyFont="1" applyFill="1" applyBorder="1" applyAlignment="1">
      <alignment vertical="center"/>
    </xf>
    <xf numFmtId="0" fontId="9" fillId="10" borderId="6" xfId="0" applyFont="1" applyFill="1" applyBorder="1" applyAlignment="1">
      <alignment horizontal="center" vertical="center"/>
    </xf>
    <xf numFmtId="41" fontId="9" fillId="10" borderId="37" xfId="0" applyNumberFormat="1" applyFont="1" applyFill="1" applyBorder="1" applyAlignment="1">
      <alignment vertical="center"/>
    </xf>
    <xf numFmtId="41" fontId="9" fillId="10" borderId="36" xfId="1" applyFont="1" applyFill="1" applyBorder="1" applyAlignment="1">
      <alignment vertical="center"/>
    </xf>
    <xf numFmtId="41" fontId="9" fillId="10" borderId="37" xfId="1" applyFont="1" applyFill="1" applyBorder="1" applyAlignment="1">
      <alignment vertical="center"/>
    </xf>
    <xf numFmtId="0" fontId="9" fillId="10" borderId="36" xfId="0" applyFont="1" applyFill="1" applyBorder="1" applyAlignment="1">
      <alignment vertical="center"/>
    </xf>
    <xf numFmtId="0" fontId="9" fillId="10" borderId="37" xfId="0" applyFont="1" applyFill="1" applyBorder="1" applyAlignment="1">
      <alignment vertical="center"/>
    </xf>
    <xf numFmtId="164" fontId="9" fillId="10" borderId="6" xfId="0" applyNumberFormat="1" applyFont="1" applyFill="1" applyBorder="1" applyAlignment="1">
      <alignment vertical="center"/>
    </xf>
    <xf numFmtId="41" fontId="9" fillId="10" borderId="6" xfId="0" applyNumberFormat="1" applyFont="1" applyFill="1" applyBorder="1" applyAlignment="1">
      <alignment vertical="center"/>
    </xf>
    <xf numFmtId="0" fontId="9" fillId="10" borderId="4" xfId="0" applyFont="1" applyFill="1" applyBorder="1" applyAlignment="1">
      <alignment vertical="center"/>
    </xf>
    <xf numFmtId="165" fontId="9" fillId="0" borderId="37" xfId="4" applyNumberFormat="1" applyFont="1" applyFill="1" applyBorder="1" applyAlignment="1">
      <alignment horizontal="center" vertical="center" wrapText="1"/>
    </xf>
    <xf numFmtId="3" fontId="9" fillId="0" borderId="37" xfId="0" applyNumberFormat="1" applyFont="1" applyFill="1" applyBorder="1" applyAlignment="1">
      <alignment horizontal="justify" vertical="center" wrapText="1"/>
    </xf>
    <xf numFmtId="41" fontId="9" fillId="0" borderId="29" xfId="1" applyFont="1" applyFill="1" applyBorder="1" applyAlignment="1">
      <alignment horizontal="justify" vertical="center" wrapText="1"/>
    </xf>
    <xf numFmtId="9" fontId="25" fillId="0" borderId="6" xfId="0" applyNumberFormat="1" applyFont="1" applyFill="1" applyBorder="1" applyAlignment="1">
      <alignment horizontal="center" vertical="center" wrapText="1"/>
    </xf>
    <xf numFmtId="0" fontId="8" fillId="0" borderId="30" xfId="0" applyFont="1" applyFill="1" applyBorder="1" applyAlignment="1">
      <alignment vertical="center" wrapText="1"/>
    </xf>
    <xf numFmtId="41" fontId="1" fillId="0" borderId="36" xfId="1" applyFont="1" applyFill="1" applyBorder="1" applyAlignment="1">
      <alignment horizontal="center" vertical="center" wrapText="1"/>
    </xf>
    <xf numFmtId="41" fontId="1" fillId="0" borderId="6" xfId="1" applyFont="1" applyFill="1" applyBorder="1" applyAlignment="1">
      <alignment horizontal="center" vertical="center" wrapText="1"/>
    </xf>
    <xf numFmtId="0" fontId="16" fillId="0" borderId="4" xfId="0" applyFont="1" applyBorder="1" applyAlignment="1">
      <alignment horizontal="justify"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justify" vertical="center" wrapText="1"/>
    </xf>
    <xf numFmtId="0" fontId="16" fillId="0" borderId="6" xfId="0" applyFont="1" applyBorder="1" applyAlignment="1">
      <alignment vertical="center" wrapText="1"/>
    </xf>
    <xf numFmtId="41" fontId="16" fillId="0" borderId="6" xfId="1" applyFont="1" applyFill="1" applyBorder="1" applyAlignment="1">
      <alignment horizontal="center" vertical="center" wrapText="1"/>
    </xf>
    <xf numFmtId="41" fontId="16" fillId="0" borderId="7" xfId="1" applyFont="1" applyFill="1" applyBorder="1" applyAlignment="1">
      <alignment horizontal="center" vertical="center" wrapText="1"/>
    </xf>
    <xf numFmtId="0" fontId="16" fillId="0" borderId="5" xfId="0" applyFont="1" applyFill="1" applyBorder="1" applyAlignment="1">
      <alignment vertical="center" wrapText="1"/>
    </xf>
    <xf numFmtId="0" fontId="16" fillId="0" borderId="37" xfId="0" applyFont="1" applyFill="1" applyBorder="1" applyAlignment="1">
      <alignment horizontal="justify" vertical="center" wrapText="1"/>
    </xf>
    <xf numFmtId="41" fontId="16" fillId="0" borderId="36" xfId="1"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41" fontId="16" fillId="0" borderId="37" xfId="1" applyFont="1" applyFill="1" applyBorder="1" applyAlignment="1">
      <alignment horizontal="center" vertical="center" wrapText="1"/>
    </xf>
    <xf numFmtId="164" fontId="16" fillId="0" borderId="36" xfId="2" applyNumberFormat="1" applyFont="1" applyBorder="1" applyAlignment="1">
      <alignment vertical="center" wrapText="1"/>
    </xf>
    <xf numFmtId="164" fontId="16" fillId="0" borderId="6" xfId="2" applyNumberFormat="1" applyFont="1" applyBorder="1" applyAlignment="1">
      <alignment vertical="center" wrapText="1"/>
    </xf>
    <xf numFmtId="0" fontId="16" fillId="0" borderId="7" xfId="0" applyFont="1" applyFill="1" applyBorder="1" applyAlignment="1">
      <alignment horizontal="justify" vertical="center" wrapText="1"/>
    </xf>
    <xf numFmtId="0" fontId="16" fillId="0" borderId="4" xfId="0" applyFont="1" applyBorder="1" applyAlignment="1">
      <alignment vertical="center"/>
    </xf>
    <xf numFmtId="0" fontId="1" fillId="0" borderId="56" xfId="0" applyFont="1" applyFill="1" applyBorder="1" applyAlignment="1">
      <alignment vertical="center" wrapText="1"/>
    </xf>
    <xf numFmtId="167" fontId="9" fillId="0" borderId="30" xfId="3" applyNumberFormat="1" applyFont="1" applyFill="1" applyBorder="1" applyAlignment="1">
      <alignment horizontal="center" vertical="center" wrapText="1"/>
    </xf>
    <xf numFmtId="168" fontId="9" fillId="0" borderId="7" xfId="1" applyNumberFormat="1" applyFont="1" applyFill="1" applyBorder="1" applyAlignment="1">
      <alignment horizontal="center" vertical="center" wrapText="1"/>
    </xf>
    <xf numFmtId="0" fontId="9" fillId="0" borderId="5" xfId="0" applyFont="1" applyBorder="1" applyAlignment="1">
      <alignment vertical="center"/>
    </xf>
    <xf numFmtId="0" fontId="9" fillId="0" borderId="7" xfId="0" applyFont="1" applyBorder="1" applyAlignment="1">
      <alignment vertical="center"/>
    </xf>
    <xf numFmtId="41" fontId="9" fillId="0" borderId="7" xfId="1" applyFont="1" applyBorder="1" applyAlignment="1">
      <alignment vertical="center"/>
    </xf>
    <xf numFmtId="0" fontId="9" fillId="0" borderId="6" xfId="0" applyFont="1" applyBorder="1" applyAlignment="1">
      <alignment horizontal="center" vertical="center"/>
    </xf>
    <xf numFmtId="0" fontId="9" fillId="0" borderId="37" xfId="0" applyFont="1" applyBorder="1" applyAlignment="1">
      <alignment vertical="center"/>
    </xf>
    <xf numFmtId="41" fontId="9" fillId="0" borderId="36" xfId="1" applyFont="1" applyBorder="1" applyAlignment="1">
      <alignment vertical="center"/>
    </xf>
    <xf numFmtId="0" fontId="9" fillId="0" borderId="36" xfId="0" applyFont="1" applyBorder="1" applyAlignment="1">
      <alignment vertical="center"/>
    </xf>
    <xf numFmtId="41" fontId="9" fillId="0" borderId="37" xfId="1" applyFont="1" applyBorder="1" applyAlignment="1">
      <alignment vertical="center"/>
    </xf>
    <xf numFmtId="41" fontId="9" fillId="0" borderId="30" xfId="1" applyFont="1" applyBorder="1" applyAlignment="1">
      <alignment vertical="center"/>
    </xf>
    <xf numFmtId="167" fontId="9" fillId="0" borderId="6" xfId="3" applyNumberFormat="1" applyFont="1" applyFill="1" applyBorder="1" applyAlignment="1">
      <alignment horizontal="center" vertical="center" wrapText="1"/>
    </xf>
    <xf numFmtId="169" fontId="9" fillId="0" borderId="6" xfId="1" applyNumberFormat="1" applyFont="1" applyFill="1" applyBorder="1" applyAlignment="1">
      <alignment horizontal="center" vertical="center" wrapText="1"/>
    </xf>
    <xf numFmtId="169" fontId="9" fillId="0" borderId="7" xfId="1"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9" fillId="0" borderId="5" xfId="0" applyFont="1" applyBorder="1" applyAlignment="1">
      <alignment horizontal="center" vertical="center"/>
    </xf>
    <xf numFmtId="0" fontId="16" fillId="0" borderId="6" xfId="0" applyFont="1" applyBorder="1" applyAlignment="1">
      <alignment horizontal="center"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9" fillId="0" borderId="0" xfId="0" applyFont="1" applyBorder="1" applyAlignment="1">
      <alignment horizontal="center" vertical="center"/>
    </xf>
    <xf numFmtId="0" fontId="8" fillId="0" borderId="0" xfId="0" applyFont="1" applyBorder="1" applyAlignment="1">
      <alignment vertical="center"/>
    </xf>
    <xf numFmtId="0" fontId="16" fillId="0" borderId="25" xfId="0" applyFont="1" applyFill="1" applyBorder="1" applyAlignment="1">
      <alignment horizontal="justify" vertical="center" wrapText="1"/>
    </xf>
    <xf numFmtId="0" fontId="16" fillId="0" borderId="42"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8" fillId="0" borderId="14" xfId="0" applyFont="1" applyBorder="1" applyAlignment="1">
      <alignment vertical="center"/>
    </xf>
    <xf numFmtId="0" fontId="8" fillId="0" borderId="0" xfId="0" applyFont="1" applyFill="1" applyBorder="1" applyAlignment="1">
      <alignment vertical="center" wrapText="1"/>
    </xf>
    <xf numFmtId="0" fontId="11" fillId="0" borderId="0" xfId="0" applyFont="1" applyFill="1" applyBorder="1" applyAlignment="1">
      <alignment vertical="center" wrapText="1"/>
    </xf>
    <xf numFmtId="0" fontId="1" fillId="5" borderId="30" xfId="0" applyFont="1" applyFill="1" applyBorder="1" applyAlignment="1">
      <alignment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vertical="center" wrapText="1"/>
    </xf>
    <xf numFmtId="0" fontId="16" fillId="0" borderId="0"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30" fillId="4" borderId="16" xfId="0" applyFont="1" applyFill="1" applyBorder="1" applyAlignment="1">
      <alignment vertical="center" wrapText="1"/>
    </xf>
    <xf numFmtId="0" fontId="30" fillId="4" borderId="5" xfId="0" applyFont="1" applyFill="1" applyBorder="1" applyAlignment="1">
      <alignment vertical="center" wrapText="1"/>
    </xf>
    <xf numFmtId="0" fontId="30" fillId="4" borderId="19" xfId="0" applyFont="1" applyFill="1" applyBorder="1" applyAlignment="1">
      <alignment vertical="center" wrapText="1"/>
    </xf>
    <xf numFmtId="0" fontId="32" fillId="0" borderId="0" xfId="0" applyFont="1" applyBorder="1" applyAlignment="1">
      <alignment vertical="center"/>
    </xf>
    <xf numFmtId="0" fontId="33" fillId="0" borderId="0" xfId="0" applyFont="1"/>
    <xf numFmtId="0" fontId="34" fillId="0" borderId="0" xfId="0" applyFont="1" applyBorder="1" applyAlignment="1">
      <alignment vertical="center"/>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31" fillId="3" borderId="6" xfId="0" applyFont="1" applyFill="1" applyBorder="1" applyAlignment="1">
      <alignment horizontal="center" vertical="center" textRotation="255" wrapText="1"/>
    </xf>
    <xf numFmtId="0" fontId="31" fillId="3" borderId="7" xfId="0" applyFont="1" applyFill="1" applyBorder="1" applyAlignment="1">
      <alignment horizontal="center" vertical="center" textRotation="255" wrapText="1"/>
    </xf>
    <xf numFmtId="41" fontId="18" fillId="0" borderId="51" xfId="1" applyFont="1" applyBorder="1" applyAlignment="1">
      <alignment vertical="center"/>
    </xf>
    <xf numFmtId="0" fontId="28" fillId="0" borderId="6" xfId="0" applyFont="1" applyFill="1" applyBorder="1" applyAlignment="1">
      <alignment vertical="center" wrapText="1"/>
    </xf>
    <xf numFmtId="0" fontId="1" fillId="5" borderId="28" xfId="0" applyFont="1" applyFill="1" applyBorder="1" applyAlignment="1">
      <alignment vertical="center" wrapText="1"/>
    </xf>
    <xf numFmtId="0" fontId="1" fillId="0" borderId="57" xfId="0" applyFont="1" applyFill="1" applyBorder="1" applyAlignment="1">
      <alignment vertical="center" wrapText="1"/>
    </xf>
    <xf numFmtId="41" fontId="9" fillId="5" borderId="36" xfId="0" applyNumberFormat="1" applyFont="1" applyFill="1" applyBorder="1" applyAlignment="1">
      <alignment vertical="center"/>
    </xf>
    <xf numFmtId="41" fontId="9" fillId="0" borderId="0" xfId="0" applyNumberFormat="1" applyFont="1" applyBorder="1" applyAlignment="1">
      <alignment vertical="center"/>
    </xf>
    <xf numFmtId="41" fontId="9" fillId="0" borderId="36" xfId="1" applyFont="1" applyFill="1" applyBorder="1" applyAlignment="1">
      <alignment vertical="center"/>
    </xf>
    <xf numFmtId="41" fontId="9" fillId="0" borderId="6" xfId="1" applyFont="1" applyFill="1" applyBorder="1" applyAlignment="1">
      <alignment vertical="center"/>
    </xf>
    <xf numFmtId="41" fontId="9" fillId="0" borderId="37" xfId="1" applyFont="1" applyFill="1" applyBorder="1" applyAlignment="1">
      <alignment vertical="center"/>
    </xf>
    <xf numFmtId="0" fontId="9" fillId="0" borderId="37" xfId="0" applyFont="1" applyFill="1" applyBorder="1" applyAlignment="1">
      <alignment vertical="center"/>
    </xf>
    <xf numFmtId="0" fontId="9" fillId="0" borderId="36" xfId="0" applyFont="1" applyFill="1" applyBorder="1" applyAlignment="1">
      <alignment vertical="center"/>
    </xf>
    <xf numFmtId="0" fontId="9" fillId="0" borderId="6" xfId="0" applyFont="1" applyFill="1" applyBorder="1" applyAlignment="1">
      <alignment vertical="center"/>
    </xf>
    <xf numFmtId="41" fontId="9" fillId="0" borderId="6" xfId="0" applyNumberFormat="1" applyFont="1" applyFill="1" applyBorder="1" applyAlignment="1">
      <alignment vertical="center"/>
    </xf>
    <xf numFmtId="0" fontId="9" fillId="0" borderId="7" xfId="0" applyFont="1" applyFill="1" applyBorder="1" applyAlignment="1">
      <alignment vertical="center"/>
    </xf>
    <xf numFmtId="0" fontId="9" fillId="0" borderId="15" xfId="0" applyFont="1" applyFill="1" applyBorder="1" applyAlignment="1">
      <alignment vertical="center"/>
    </xf>
    <xf numFmtId="0" fontId="9" fillId="0" borderId="60" xfId="0" applyFont="1" applyFill="1" applyBorder="1" applyAlignment="1">
      <alignment vertical="center"/>
    </xf>
    <xf numFmtId="41" fontId="9" fillId="0" borderId="59" xfId="1" applyFont="1" applyFill="1" applyBorder="1" applyAlignment="1">
      <alignment vertical="center"/>
    </xf>
    <xf numFmtId="41" fontId="9" fillId="0" borderId="20" xfId="1" applyFont="1" applyFill="1" applyBorder="1" applyAlignment="1">
      <alignment vertical="center"/>
    </xf>
    <xf numFmtId="41" fontId="9" fillId="0" borderId="58" xfId="1" applyFont="1" applyFill="1" applyBorder="1" applyAlignment="1">
      <alignment vertical="center"/>
    </xf>
    <xf numFmtId="0" fontId="9" fillId="0" borderId="58" xfId="0" applyFont="1" applyFill="1" applyBorder="1" applyAlignment="1">
      <alignment vertical="center"/>
    </xf>
    <xf numFmtId="0" fontId="9" fillId="0" borderId="59" xfId="0" applyFont="1" applyFill="1" applyBorder="1" applyAlignment="1">
      <alignment vertical="center"/>
    </xf>
    <xf numFmtId="0" fontId="9" fillId="0" borderId="20" xfId="0" applyFont="1" applyFill="1" applyBorder="1" applyAlignment="1">
      <alignment vertical="center"/>
    </xf>
    <xf numFmtId="41" fontId="9" fillId="0" borderId="20" xfId="0" applyNumberFormat="1" applyFont="1" applyFill="1" applyBorder="1" applyAlignment="1">
      <alignment vertical="center"/>
    </xf>
    <xf numFmtId="0" fontId="9" fillId="0" borderId="21" xfId="0" applyFont="1" applyFill="1" applyBorder="1" applyAlignment="1">
      <alignment vertical="center"/>
    </xf>
    <xf numFmtId="41" fontId="9" fillId="0" borderId="53" xfId="1" applyFont="1" applyFill="1" applyBorder="1" applyAlignment="1">
      <alignment vertical="center"/>
    </xf>
    <xf numFmtId="41" fontId="9" fillId="0" borderId="47" xfId="1" applyFont="1" applyFill="1" applyBorder="1" applyAlignment="1">
      <alignment vertical="center"/>
    </xf>
    <xf numFmtId="41" fontId="9" fillId="0" borderId="54" xfId="1" applyFont="1" applyFill="1" applyBorder="1" applyAlignment="1">
      <alignment vertical="center"/>
    </xf>
    <xf numFmtId="0" fontId="9" fillId="0" borderId="54" xfId="0" applyFont="1" applyFill="1" applyBorder="1" applyAlignment="1">
      <alignment vertical="center"/>
    </xf>
    <xf numFmtId="0" fontId="9" fillId="0" borderId="53" xfId="0" applyFont="1" applyFill="1" applyBorder="1" applyAlignment="1">
      <alignment vertical="center"/>
    </xf>
    <xf numFmtId="0" fontId="9" fillId="0" borderId="47" xfId="0" applyFont="1" applyFill="1" applyBorder="1" applyAlignment="1">
      <alignment vertical="center"/>
    </xf>
    <xf numFmtId="41" fontId="9" fillId="0" borderId="47" xfId="0" applyNumberFormat="1" applyFont="1" applyFill="1" applyBorder="1" applyAlignment="1">
      <alignment vertical="center"/>
    </xf>
    <xf numFmtId="0" fontId="9" fillId="0" borderId="49" xfId="0" applyFont="1" applyFill="1" applyBorder="1" applyAlignment="1">
      <alignment vertical="center"/>
    </xf>
    <xf numFmtId="41" fontId="24" fillId="0" borderId="51" xfId="1" applyFont="1" applyBorder="1" applyAlignment="1">
      <alignment vertical="center"/>
    </xf>
    <xf numFmtId="0" fontId="9" fillId="0" borderId="4" xfId="0" applyFont="1" applyFill="1" applyBorder="1" applyAlignment="1">
      <alignment vertical="center" wrapText="1"/>
    </xf>
    <xf numFmtId="0" fontId="9" fillId="0" borderId="25" xfId="0" applyFont="1" applyFill="1" applyBorder="1" applyAlignment="1">
      <alignment vertical="center" wrapText="1"/>
    </xf>
    <xf numFmtId="0" fontId="8" fillId="0" borderId="9" xfId="0" applyFont="1" applyFill="1" applyBorder="1" applyAlignment="1">
      <alignment vertical="center" wrapText="1"/>
    </xf>
    <xf numFmtId="0" fontId="9" fillId="0" borderId="0" xfId="0" applyFont="1" applyBorder="1" applyAlignment="1">
      <alignment horizontal="justify" vertical="center" wrapText="1"/>
    </xf>
    <xf numFmtId="166" fontId="9" fillId="0" borderId="28" xfId="0" applyNumberFormat="1" applyFont="1" applyFill="1" applyBorder="1" applyAlignment="1">
      <alignment horizontal="justify" vertical="center" wrapText="1"/>
    </xf>
    <xf numFmtId="0" fontId="9" fillId="0" borderId="28" xfId="0" applyFont="1" applyBorder="1" applyAlignment="1">
      <alignment vertical="center"/>
    </xf>
    <xf numFmtId="0" fontId="26" fillId="0" borderId="6" xfId="0" applyFont="1" applyFill="1" applyBorder="1" applyAlignment="1">
      <alignment horizontal="left" vertical="center" wrapText="1"/>
    </xf>
    <xf numFmtId="0" fontId="35" fillId="0" borderId="0" xfId="0" applyFont="1" applyBorder="1" applyAlignment="1">
      <alignment vertical="center"/>
    </xf>
    <xf numFmtId="41" fontId="9" fillId="0" borderId="6" xfId="0" applyNumberFormat="1" applyFont="1" applyBorder="1" applyAlignment="1">
      <alignment vertical="center"/>
    </xf>
    <xf numFmtId="0" fontId="17" fillId="0" borderId="6" xfId="0" applyFont="1" applyBorder="1" applyAlignment="1">
      <alignment vertical="center" wrapText="1"/>
    </xf>
    <xf numFmtId="41" fontId="8" fillId="0" borderId="6" xfId="1" applyFont="1" applyBorder="1" applyAlignment="1">
      <alignment vertical="center"/>
    </xf>
    <xf numFmtId="0" fontId="9" fillId="0" borderId="31" xfId="0" applyFont="1" applyBorder="1" applyAlignment="1">
      <alignment horizontal="center" vertical="center" wrapText="1"/>
    </xf>
    <xf numFmtId="0" fontId="9" fillId="0" borderId="41" xfId="0" applyFont="1" applyFill="1" applyBorder="1" applyAlignment="1">
      <alignment horizontal="center" vertical="center" wrapText="1"/>
    </xf>
    <xf numFmtId="0" fontId="36" fillId="0" borderId="4" xfId="0" applyFont="1" applyBorder="1" applyAlignment="1">
      <alignment horizontal="justify" vertical="center" wrapText="1"/>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6" xfId="0" applyFont="1" applyFill="1" applyBorder="1" applyAlignment="1">
      <alignment horizontal="justify" vertical="center" wrapText="1"/>
    </xf>
    <xf numFmtId="0" fontId="36" fillId="0" borderId="6" xfId="0" applyFont="1" applyBorder="1" applyAlignment="1">
      <alignment vertical="center" wrapText="1"/>
    </xf>
    <xf numFmtId="0" fontId="36" fillId="0" borderId="4" xfId="0" applyFont="1" applyFill="1" applyBorder="1" applyAlignment="1">
      <alignment horizontal="justify" vertical="center" wrapText="1"/>
    </xf>
    <xf numFmtId="0" fontId="36" fillId="0" borderId="40" xfId="0" applyFont="1" applyFill="1" applyBorder="1" applyAlignment="1">
      <alignment horizontal="justify" vertical="center" wrapText="1"/>
    </xf>
    <xf numFmtId="0" fontId="36" fillId="0" borderId="2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Fill="1" applyBorder="1" applyAlignment="1">
      <alignment horizontal="right" vertical="center" wrapText="1"/>
    </xf>
    <xf numFmtId="9" fontId="9" fillId="0" borderId="6" xfId="3" applyNumberFormat="1" applyFont="1" applyFill="1" applyBorder="1" applyAlignment="1">
      <alignment horizontal="right" vertical="center" wrapText="1"/>
    </xf>
    <xf numFmtId="9" fontId="9" fillId="0" borderId="6" xfId="0" applyNumberFormat="1" applyFont="1" applyFill="1" applyBorder="1" applyAlignment="1">
      <alignment horizontal="right" vertical="center" wrapText="1"/>
    </xf>
    <xf numFmtId="0" fontId="16" fillId="0" borderId="6" xfId="0" applyFont="1" applyFill="1" applyBorder="1" applyAlignment="1">
      <alignment horizontal="right"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8" fillId="4" borderId="63" xfId="0" applyFont="1" applyFill="1" applyBorder="1" applyAlignment="1">
      <alignment horizontal="center" vertical="center" wrapText="1"/>
    </xf>
    <xf numFmtId="0" fontId="8" fillId="9" borderId="34"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8" fillId="9" borderId="7" xfId="0" applyFont="1" applyFill="1" applyBorder="1" applyAlignment="1">
      <alignment vertical="center" wrapText="1"/>
    </xf>
    <xf numFmtId="0" fontId="11" fillId="5" borderId="5" xfId="0" applyFont="1" applyFill="1" applyBorder="1" applyAlignment="1">
      <alignment vertical="center" wrapText="1"/>
    </xf>
    <xf numFmtId="0" fontId="11" fillId="5" borderId="6" xfId="0" applyFont="1" applyFill="1" applyBorder="1" applyAlignment="1">
      <alignment horizontal="center" vertical="center" wrapText="1"/>
    </xf>
    <xf numFmtId="0" fontId="22" fillId="5" borderId="7" xfId="0" applyFont="1" applyFill="1" applyBorder="1" applyAlignment="1">
      <alignment vertical="center" wrapText="1"/>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5" xfId="0" applyFont="1" applyBorder="1" applyAlignment="1">
      <alignment vertical="center" wrapText="1"/>
    </xf>
    <xf numFmtId="0" fontId="12" fillId="5" borderId="7" xfId="0" applyFont="1" applyFill="1" applyBorder="1" applyAlignment="1">
      <alignment vertical="center" wrapText="1"/>
    </xf>
    <xf numFmtId="0" fontId="9" fillId="0" borderId="5" xfId="0" applyFont="1" applyFill="1" applyBorder="1" applyAlignment="1">
      <alignment horizontal="justify" vertical="center" wrapText="1"/>
    </xf>
    <xf numFmtId="0" fontId="9" fillId="0" borderId="7" xfId="0" applyFont="1" applyBorder="1" applyAlignment="1">
      <alignment horizontal="center" vertical="center" wrapText="1"/>
    </xf>
    <xf numFmtId="0" fontId="12" fillId="5" borderId="7" xfId="0" applyFont="1" applyFill="1" applyBorder="1" applyAlignment="1">
      <alignment horizontal="center" vertical="center" wrapText="1"/>
    </xf>
    <xf numFmtId="0" fontId="8" fillId="10" borderId="5" xfId="0" applyFont="1" applyFill="1" applyBorder="1" applyAlignment="1">
      <alignment vertical="center" wrapText="1"/>
    </xf>
    <xf numFmtId="0" fontId="8" fillId="10" borderId="7" xfId="0" applyFont="1" applyFill="1" applyBorder="1" applyAlignment="1">
      <alignment vertical="center" wrapText="1"/>
    </xf>
    <xf numFmtId="0" fontId="36" fillId="0" borderId="5" xfId="0" applyFont="1" applyBorder="1" applyAlignment="1">
      <alignment horizontal="justify" vertical="center" wrapText="1"/>
    </xf>
    <xf numFmtId="0" fontId="9" fillId="0" borderId="19" xfId="0" applyFont="1" applyBorder="1" applyAlignment="1">
      <alignment horizontal="justify" vertical="center" wrapText="1"/>
    </xf>
    <xf numFmtId="0" fontId="8" fillId="9" borderId="48" xfId="0" applyFont="1" applyFill="1" applyBorder="1" applyAlignment="1">
      <alignment vertical="center" wrapText="1"/>
    </xf>
    <xf numFmtId="0" fontId="8" fillId="9" borderId="47" xfId="0" applyFont="1" applyFill="1" applyBorder="1" applyAlignment="1">
      <alignment vertical="center" wrapText="1"/>
    </xf>
    <xf numFmtId="0" fontId="8" fillId="9" borderId="47" xfId="0" applyFont="1" applyFill="1" applyBorder="1" applyAlignment="1">
      <alignment horizontal="center" vertical="center" wrapText="1"/>
    </xf>
    <xf numFmtId="0" fontId="9" fillId="9" borderId="47" xfId="0" applyFont="1" applyFill="1" applyBorder="1" applyAlignment="1">
      <alignment vertical="center"/>
    </xf>
    <xf numFmtId="0" fontId="8" fillId="9" borderId="49" xfId="0" applyFont="1" applyFill="1" applyBorder="1" applyAlignment="1">
      <alignment vertical="center" wrapText="1"/>
    </xf>
    <xf numFmtId="0" fontId="36" fillId="0" borderId="19"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8" fillId="9" borderId="49" xfId="0" applyFont="1" applyFill="1" applyBorder="1" applyAlignment="1">
      <alignment horizontal="center" vertical="center" wrapText="1"/>
    </xf>
    <xf numFmtId="0" fontId="27" fillId="0" borderId="19" xfId="0" applyFont="1" applyBorder="1" applyAlignment="1">
      <alignment horizontal="justify" vertical="center" wrapText="1"/>
    </xf>
    <xf numFmtId="0" fontId="9" fillId="0" borderId="44"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4" xfId="0" applyFont="1" applyBorder="1" applyAlignment="1">
      <alignment horizontal="left" vertical="center" wrapText="1"/>
    </xf>
    <xf numFmtId="0" fontId="9" fillId="0" borderId="47" xfId="0" applyFont="1" applyBorder="1" applyAlignment="1">
      <alignment horizontal="left" vertical="center" wrapText="1"/>
    </xf>
    <xf numFmtId="0" fontId="8" fillId="4" borderId="29" xfId="0" applyFont="1" applyFill="1" applyBorder="1" applyAlignment="1">
      <alignment vertical="center" wrapText="1"/>
    </xf>
    <xf numFmtId="0" fontId="8" fillId="4" borderId="30" xfId="0" applyFont="1" applyFill="1" applyBorder="1" applyAlignment="1">
      <alignment vertical="center" wrapText="1"/>
    </xf>
    <xf numFmtId="0" fontId="38" fillId="0" borderId="6" xfId="0" applyFont="1" applyBorder="1" applyAlignment="1">
      <alignment vertical="center" wrapText="1"/>
    </xf>
    <xf numFmtId="0" fontId="9" fillId="9" borderId="48" xfId="0" applyFont="1" applyFill="1" applyBorder="1" applyAlignment="1">
      <alignment vertical="center" wrapText="1"/>
    </xf>
    <xf numFmtId="0" fontId="9" fillId="9" borderId="47" xfId="0" applyFont="1" applyFill="1" applyBorder="1" applyAlignment="1">
      <alignment vertical="center" wrapText="1"/>
    </xf>
    <xf numFmtId="0" fontId="9" fillId="9" borderId="49" xfId="0" applyFont="1" applyFill="1" applyBorder="1" applyAlignment="1">
      <alignment vertical="center" wrapText="1"/>
    </xf>
    <xf numFmtId="0" fontId="8" fillId="9" borderId="9" xfId="0" applyFont="1" applyFill="1" applyBorder="1" applyAlignment="1">
      <alignment vertical="center" wrapText="1"/>
    </xf>
    <xf numFmtId="0" fontId="9" fillId="9" borderId="48" xfId="0" applyFont="1" applyFill="1" applyBorder="1" applyAlignment="1">
      <alignment vertical="center"/>
    </xf>
    <xf numFmtId="0" fontId="9" fillId="9" borderId="49" xfId="0" applyFont="1" applyFill="1" applyBorder="1" applyAlignment="1">
      <alignment vertical="center"/>
    </xf>
    <xf numFmtId="41" fontId="9" fillId="9" borderId="47" xfId="1" applyFont="1" applyFill="1" applyBorder="1" applyAlignment="1">
      <alignment vertical="center"/>
    </xf>
    <xf numFmtId="0" fontId="9" fillId="0" borderId="66" xfId="0" applyFont="1" applyBorder="1" applyAlignment="1">
      <alignment vertical="center"/>
    </xf>
    <xf numFmtId="41" fontId="9" fillId="9" borderId="28" xfId="0" applyNumberFormat="1" applyFont="1" applyFill="1" applyBorder="1" applyAlignment="1">
      <alignment vertical="center"/>
    </xf>
    <xf numFmtId="41" fontId="9" fillId="5" borderId="28" xfId="1" applyFont="1" applyFill="1" applyBorder="1" applyAlignment="1">
      <alignment vertical="center"/>
    </xf>
    <xf numFmtId="0" fontId="9" fillId="0" borderId="31" xfId="0" applyFont="1" applyFill="1" applyBorder="1" applyAlignment="1">
      <alignment horizontal="justify" vertical="center" wrapText="1"/>
    </xf>
    <xf numFmtId="0" fontId="9" fillId="0" borderId="35" xfId="0" applyFont="1" applyFill="1" applyBorder="1" applyAlignment="1">
      <alignment horizontal="justify" vertical="center" wrapText="1"/>
    </xf>
    <xf numFmtId="41" fontId="18" fillId="0" borderId="31" xfId="1" applyFont="1" applyBorder="1" applyAlignment="1">
      <alignment vertical="center"/>
    </xf>
    <xf numFmtId="41" fontId="9" fillId="10" borderId="28" xfId="0" applyNumberFormat="1" applyFont="1" applyFill="1" applyBorder="1" applyAlignment="1">
      <alignment vertical="center"/>
    </xf>
    <xf numFmtId="165" fontId="9" fillId="0" borderId="28" xfId="4" applyNumberFormat="1" applyFont="1" applyFill="1" applyBorder="1" applyAlignment="1">
      <alignment horizontal="center" vertical="center" wrapText="1"/>
    </xf>
    <xf numFmtId="3" fontId="9" fillId="0" borderId="28" xfId="0" applyNumberFormat="1" applyFont="1" applyFill="1" applyBorder="1" applyAlignment="1">
      <alignment horizontal="justify" vertical="center" wrapText="1"/>
    </xf>
    <xf numFmtId="0" fontId="16" fillId="0" borderId="28" xfId="0" applyFont="1" applyFill="1" applyBorder="1" applyAlignment="1">
      <alignment horizontal="justify" vertical="center" wrapText="1"/>
    </xf>
    <xf numFmtId="41" fontId="9" fillId="10" borderId="28" xfId="1" applyFont="1" applyFill="1" applyBorder="1" applyAlignment="1">
      <alignment vertical="center"/>
    </xf>
    <xf numFmtId="0" fontId="9" fillId="5" borderId="28" xfId="0" applyFont="1" applyFill="1" applyBorder="1" applyAlignment="1">
      <alignment vertical="center"/>
    </xf>
    <xf numFmtId="41" fontId="9" fillId="9" borderId="28" xfId="1" applyFont="1" applyFill="1" applyBorder="1" applyAlignment="1">
      <alignment vertical="center"/>
    </xf>
    <xf numFmtId="41" fontId="9" fillId="0" borderId="31" xfId="1" applyFont="1" applyFill="1" applyBorder="1" applyAlignment="1">
      <alignment horizontal="center" vertical="center" wrapText="1"/>
    </xf>
    <xf numFmtId="41" fontId="9" fillId="0" borderId="35" xfId="1" applyFont="1" applyFill="1" applyBorder="1" applyAlignment="1">
      <alignment horizontal="center" vertical="center" wrapText="1"/>
    </xf>
    <xf numFmtId="41" fontId="1" fillId="0" borderId="31" xfId="1" applyFont="1" applyFill="1" applyBorder="1" applyAlignment="1">
      <alignment horizontal="center" vertical="center" wrapText="1"/>
    </xf>
    <xf numFmtId="41" fontId="16" fillId="0" borderId="28" xfId="1" applyFont="1" applyFill="1" applyBorder="1" applyAlignment="1">
      <alignment horizontal="center" vertical="center" wrapText="1"/>
    </xf>
    <xf numFmtId="41" fontId="9" fillId="0" borderId="28" xfId="1" applyFont="1" applyBorder="1" applyAlignment="1">
      <alignment vertical="center"/>
    </xf>
    <xf numFmtId="9" fontId="25" fillId="0" borderId="6" xfId="3" applyFont="1" applyFill="1" applyBorder="1" applyAlignment="1">
      <alignment horizontal="center" vertical="center" wrapText="1"/>
    </xf>
    <xf numFmtId="9" fontId="9" fillId="0" borderId="6" xfId="3" applyFont="1" applyFill="1" applyBorder="1" applyAlignment="1">
      <alignment horizontal="center" vertical="center" wrapText="1"/>
    </xf>
    <xf numFmtId="41" fontId="18" fillId="0" borderId="44" xfId="1" applyFont="1" applyBorder="1" applyAlignment="1">
      <alignment vertical="center"/>
    </xf>
    <xf numFmtId="41" fontId="9" fillId="0" borderId="0" xfId="1" applyFont="1" applyBorder="1" applyAlignment="1">
      <alignment vertical="center"/>
    </xf>
    <xf numFmtId="0" fontId="8" fillId="0" borderId="6" xfId="0" applyFont="1" applyFill="1" applyBorder="1" applyAlignment="1">
      <alignment vertical="center" wrapText="1"/>
    </xf>
    <xf numFmtId="41" fontId="9" fillId="7" borderId="6" xfId="1" applyFont="1" applyFill="1" applyBorder="1" applyAlignment="1">
      <alignment horizontal="center" vertical="center"/>
    </xf>
    <xf numFmtId="41" fontId="9" fillId="9" borderId="4" xfId="1" applyFont="1" applyFill="1" applyBorder="1" applyAlignment="1">
      <alignment vertical="center"/>
    </xf>
    <xf numFmtId="0" fontId="8" fillId="8" borderId="6" xfId="0" applyFont="1" applyFill="1" applyBorder="1" applyAlignment="1">
      <alignment horizontal="center" vertical="center" wrapText="1"/>
    </xf>
    <xf numFmtId="0" fontId="8" fillId="8" borderId="28" xfId="0" applyFont="1" applyFill="1" applyBorder="1" applyAlignment="1">
      <alignment horizontal="center" vertical="center" wrapText="1"/>
    </xf>
    <xf numFmtId="9" fontId="9" fillId="0" borderId="0" xfId="3" applyFont="1" applyFill="1" applyBorder="1" applyAlignment="1">
      <alignment vertical="center"/>
    </xf>
    <xf numFmtId="9" fontId="9" fillId="0" borderId="0" xfId="0" applyNumberFormat="1" applyFont="1" applyFill="1" applyBorder="1" applyAlignment="1">
      <alignment vertical="center"/>
    </xf>
    <xf numFmtId="167" fontId="9" fillId="0" borderId="0" xfId="3" applyNumberFormat="1" applyFont="1" applyFill="1" applyBorder="1" applyAlignment="1">
      <alignment vertical="center"/>
    </xf>
    <xf numFmtId="10" fontId="9" fillId="0" borderId="0" xfId="3" applyNumberFormat="1" applyFont="1" applyFill="1" applyBorder="1" applyAlignment="1">
      <alignment vertical="center"/>
    </xf>
    <xf numFmtId="167" fontId="9" fillId="0" borderId="0" xfId="0" applyNumberFormat="1" applyFont="1" applyBorder="1" applyAlignment="1">
      <alignment vertical="center"/>
    </xf>
    <xf numFmtId="9" fontId="9" fillId="0" borderId="0" xfId="3" applyFont="1" applyBorder="1" applyAlignment="1">
      <alignment vertical="center"/>
    </xf>
    <xf numFmtId="9" fontId="9" fillId="0" borderId="0" xfId="0" applyNumberFormat="1" applyFont="1" applyBorder="1" applyAlignment="1">
      <alignment vertical="center"/>
    </xf>
    <xf numFmtId="0" fontId="8" fillId="8" borderId="28" xfId="0" applyFont="1" applyFill="1" applyBorder="1" applyAlignment="1">
      <alignment vertical="center" wrapText="1"/>
    </xf>
    <xf numFmtId="0" fontId="8" fillId="8" borderId="29" xfId="0" applyFont="1" applyFill="1" applyBorder="1" applyAlignment="1">
      <alignment vertical="center" wrapText="1"/>
    </xf>
    <xf numFmtId="0" fontId="8" fillId="8" borderId="32" xfId="0" applyFont="1" applyFill="1" applyBorder="1" applyAlignment="1">
      <alignment vertical="center" wrapText="1"/>
    </xf>
    <xf numFmtId="41" fontId="2" fillId="0" borderId="70" xfId="1" applyFont="1" applyFill="1" applyBorder="1" applyAlignment="1">
      <alignment vertical="center"/>
    </xf>
    <xf numFmtId="41" fontId="9" fillId="0" borderId="70" xfId="1" applyFont="1" applyFill="1" applyBorder="1" applyAlignment="1">
      <alignment horizontal="center" vertical="center"/>
    </xf>
    <xf numFmtId="41" fontId="9" fillId="0" borderId="70" xfId="1" applyFont="1" applyFill="1" applyBorder="1" applyAlignment="1">
      <alignment vertical="center"/>
    </xf>
    <xf numFmtId="41" fontId="8" fillId="0" borderId="6" xfId="1" applyFont="1" applyFill="1" applyBorder="1" applyAlignment="1">
      <alignment vertical="center"/>
    </xf>
    <xf numFmtId="0" fontId="8" fillId="8"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45" xfId="0" applyFont="1" applyFill="1" applyBorder="1" applyAlignment="1">
      <alignment horizontal="center" vertical="center" wrapText="1"/>
    </xf>
    <xf numFmtId="0" fontId="16" fillId="0" borderId="27" xfId="0" applyFont="1" applyBorder="1" applyAlignment="1">
      <alignment horizontal="justify" vertical="center" wrapText="1"/>
    </xf>
    <xf numFmtId="9" fontId="9" fillId="0" borderId="7" xfId="3" applyNumberFormat="1" applyFont="1" applyFill="1" applyBorder="1" applyAlignment="1">
      <alignment horizontal="center" vertical="center" wrapText="1"/>
    </xf>
    <xf numFmtId="0" fontId="26" fillId="0" borderId="44" xfId="0" applyFont="1" applyBorder="1" applyAlignment="1">
      <alignment horizontal="left" vertical="center" wrapText="1"/>
    </xf>
    <xf numFmtId="0" fontId="9" fillId="0" borderId="44" xfId="0" applyFont="1" applyBorder="1" applyAlignment="1">
      <alignment horizontal="center" vertical="center"/>
    </xf>
    <xf numFmtId="0" fontId="9" fillId="0" borderId="47"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49" xfId="0" applyFont="1" applyBorder="1" applyAlignment="1">
      <alignment horizontal="center" vertical="center" wrapText="1"/>
    </xf>
    <xf numFmtId="167" fontId="9" fillId="0" borderId="44" xfId="3" applyNumberFormat="1" applyFont="1" applyFill="1" applyBorder="1" applyAlignment="1">
      <alignment horizontal="center" vertical="center" wrapText="1"/>
    </xf>
    <xf numFmtId="0" fontId="9" fillId="0" borderId="46" xfId="0" applyFont="1" applyFill="1" applyBorder="1" applyAlignment="1">
      <alignment horizontal="left" vertical="center" wrapText="1"/>
    </xf>
    <xf numFmtId="0" fontId="8" fillId="8" borderId="6" xfId="0" applyFont="1" applyFill="1" applyBorder="1" applyAlignment="1">
      <alignment vertical="center" wrapText="1"/>
    </xf>
    <xf numFmtId="41" fontId="8" fillId="0" borderId="6" xfId="0" applyNumberFormat="1" applyFont="1" applyBorder="1" applyAlignment="1">
      <alignment vertical="center"/>
    </xf>
    <xf numFmtId="0" fontId="9" fillId="0" borderId="63"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8" fillId="9" borderId="64"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0" borderId="0" xfId="0" applyFont="1" applyBorder="1" applyAlignment="1">
      <alignment horizontal="center" vertical="center" wrapText="1"/>
    </xf>
    <xf numFmtId="0" fontId="8" fillId="8"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32"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45" xfId="0" applyFont="1" applyFill="1" applyBorder="1" applyAlignment="1">
      <alignment horizontal="center" vertical="center" wrapText="1"/>
    </xf>
    <xf numFmtId="0" fontId="8" fillId="8" borderId="6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8" borderId="68" xfId="0" applyFont="1" applyFill="1" applyBorder="1" applyAlignment="1">
      <alignment horizontal="center" vertical="center" wrapText="1"/>
    </xf>
    <xf numFmtId="0" fontId="8" fillId="8" borderId="69"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2" borderId="6" xfId="0" applyFont="1" applyFill="1" applyBorder="1" applyAlignment="1">
      <alignment horizontal="center" vertical="center" wrapText="1"/>
    </xf>
    <xf numFmtId="41" fontId="2" fillId="7" borderId="44" xfId="1" applyFont="1" applyFill="1" applyBorder="1" applyAlignment="1">
      <alignment horizontal="center" vertical="center" wrapText="1"/>
    </xf>
    <xf numFmtId="41" fontId="2" fillId="7" borderId="47" xfId="1" applyFont="1" applyFill="1" applyBorder="1" applyAlignment="1">
      <alignment horizontal="center" vertical="center" wrapText="1"/>
    </xf>
    <xf numFmtId="41" fontId="2" fillId="7" borderId="44" xfId="1" applyFont="1" applyFill="1" applyBorder="1" applyAlignment="1">
      <alignment horizontal="center" vertical="center"/>
    </xf>
    <xf numFmtId="41" fontId="2" fillId="7" borderId="47" xfId="1" applyFont="1" applyFill="1" applyBorder="1" applyAlignment="1">
      <alignment horizontal="center" vertical="center"/>
    </xf>
    <xf numFmtId="41" fontId="2" fillId="7" borderId="28" xfId="1" applyFont="1" applyFill="1" applyBorder="1" applyAlignment="1">
      <alignment horizontal="center" vertical="center"/>
    </xf>
    <xf numFmtId="41" fontId="2" fillId="7" borderId="30" xfId="1" applyFont="1" applyFill="1" applyBorder="1" applyAlignment="1">
      <alignment horizontal="center" vertical="center"/>
    </xf>
    <xf numFmtId="0" fontId="10" fillId="8"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5" borderId="6" xfId="0" applyFont="1" applyFill="1" applyBorder="1" applyAlignment="1">
      <alignment vertical="center" wrapText="1"/>
    </xf>
    <xf numFmtId="0" fontId="2" fillId="0" borderId="6" xfId="0" applyFont="1" applyBorder="1" applyAlignment="1">
      <alignment horizontal="justify" vertical="center" wrapText="1"/>
    </xf>
    <xf numFmtId="0" fontId="2" fillId="0" borderId="6" xfId="0" applyFont="1" applyFill="1" applyBorder="1" applyAlignment="1">
      <alignment horizontal="justify" vertical="center" wrapText="1"/>
    </xf>
    <xf numFmtId="0" fontId="2" fillId="0" borderId="6" xfId="0" applyFont="1" applyBorder="1" applyAlignment="1">
      <alignment vertical="center" wrapText="1"/>
    </xf>
    <xf numFmtId="0" fontId="4" fillId="10" borderId="6" xfId="0" applyFont="1" applyFill="1" applyBorder="1" applyAlignment="1">
      <alignment vertical="center" wrapText="1"/>
    </xf>
    <xf numFmtId="0" fontId="4" fillId="9" borderId="6" xfId="0" applyFont="1" applyFill="1" applyBorder="1" applyAlignment="1">
      <alignment vertical="center" wrapText="1"/>
    </xf>
    <xf numFmtId="0" fontId="40" fillId="0" borderId="6" xfId="0" applyFont="1" applyBorder="1" applyAlignment="1">
      <alignment horizontal="justify" vertical="center" wrapText="1"/>
    </xf>
    <xf numFmtId="0" fontId="41" fillId="0" borderId="6" xfId="0" applyFont="1" applyFill="1" applyBorder="1" applyAlignment="1">
      <alignment horizontal="justify" vertical="center" wrapText="1"/>
    </xf>
    <xf numFmtId="0" fontId="41" fillId="0" borderId="6" xfId="0" applyFont="1" applyBorder="1" applyAlignment="1">
      <alignment horizontal="justify" vertical="center" wrapText="1"/>
    </xf>
    <xf numFmtId="0" fontId="4" fillId="2" borderId="6" xfId="0" applyFont="1" applyFill="1" applyBorder="1" applyAlignment="1">
      <alignment horizontal="center" vertical="center" wrapText="1"/>
    </xf>
    <xf numFmtId="0" fontId="2" fillId="0" borderId="6" xfId="0" applyFont="1" applyBorder="1"/>
  </cellXfs>
  <cellStyles count="5">
    <cellStyle name="Millares" xfId="4" builtinId="3"/>
    <cellStyle name="Millares [0]" xfId="1" builtinId="6"/>
    <cellStyle name="Moneda [0]" xfId="2" builtinId="7"/>
    <cellStyle name="Normal" xfId="0" builtinId="0"/>
    <cellStyle name="Porcentaje" xfId="3" builtinId="5"/>
  </cellStyles>
  <dxfs count="152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6" tint="0.59996337778862885"/>
        </patternFill>
      </fill>
    </dxf>
    <dxf>
      <fill>
        <patternFill>
          <bgColor rgb="FFFF0000"/>
        </patternFill>
      </fill>
    </dxf>
    <dxf>
      <fill>
        <patternFill>
          <bgColor theme="3" tint="0.39994506668294322"/>
        </patternFill>
      </fill>
    </dxf>
    <dxf>
      <fill>
        <patternFill>
          <bgColor theme="9"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2</xdr:rowOff>
    </xdr:from>
    <xdr:to>
      <xdr:col>1</xdr:col>
      <xdr:colOff>5140830</xdr:colOff>
      <xdr:row>32</xdr:row>
      <xdr:rowOff>76200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02"/>
          <a:ext cx="13208504" cy="57911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EVA\Mis%20Archivos\Laborales\Casos%20FONAFIFO\Caso%20Estrategia%20REDD\An&#225;lisis\Implementaci&#243;n\Costos%20Institucionales%20Nuevas%20PAMs%20ENREDD+%20V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s (E2015)"/>
      <sheetName val=" PAMs (E2016) -act2015-"/>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21"/>
  <sheetViews>
    <sheetView tabSelected="1" topLeftCell="A29" workbookViewId="0">
      <selection activeCell="A38" sqref="A38:B221"/>
    </sheetView>
  </sheetViews>
  <sheetFormatPr baseColWidth="10" defaultRowHeight="15" x14ac:dyDescent="0.25"/>
  <cols>
    <col min="1" max="1" width="121" customWidth="1"/>
    <col min="2" max="2" width="110.7109375" customWidth="1"/>
    <col min="3" max="3" width="11.42578125" customWidth="1"/>
  </cols>
  <sheetData>
    <row r="1" spans="1:1" ht="18.75" x14ac:dyDescent="0.3">
      <c r="A1" s="370" t="s">
        <v>508</v>
      </c>
    </row>
    <row r="35" spans="1:2" ht="22.5" x14ac:dyDescent="0.25">
      <c r="A35" s="1" t="s">
        <v>512</v>
      </c>
    </row>
    <row r="36" spans="1:2" ht="22.5" x14ac:dyDescent="0.25">
      <c r="A36" s="1" t="s">
        <v>652</v>
      </c>
    </row>
    <row r="37" spans="1:2" ht="15" customHeight="1" x14ac:dyDescent="0.25"/>
    <row r="38" spans="1:2" ht="15" customHeight="1" x14ac:dyDescent="0.25">
      <c r="A38" s="622" t="s">
        <v>772</v>
      </c>
      <c r="B38" s="622" t="s">
        <v>773</v>
      </c>
    </row>
    <row r="39" spans="1:2" x14ac:dyDescent="0.25">
      <c r="A39" s="618" t="s">
        <v>7</v>
      </c>
      <c r="B39" s="618" t="s">
        <v>7</v>
      </c>
    </row>
    <row r="40" spans="1:2" x14ac:dyDescent="0.25">
      <c r="A40" s="613" t="s">
        <v>513</v>
      </c>
      <c r="B40" s="613" t="s">
        <v>774</v>
      </c>
    </row>
    <row r="41" spans="1:2" x14ac:dyDescent="0.25">
      <c r="A41" s="614" t="s">
        <v>514</v>
      </c>
      <c r="B41" s="614" t="s">
        <v>757</v>
      </c>
    </row>
    <row r="42" spans="1:2" x14ac:dyDescent="0.25">
      <c r="A42" s="614" t="s">
        <v>515</v>
      </c>
      <c r="B42" s="614" t="s">
        <v>10</v>
      </c>
    </row>
    <row r="43" spans="1:2" x14ac:dyDescent="0.25">
      <c r="A43" s="614" t="s">
        <v>516</v>
      </c>
      <c r="B43" s="616" t="s">
        <v>37</v>
      </c>
    </row>
    <row r="44" spans="1:2" ht="28.5" x14ac:dyDescent="0.25">
      <c r="A44" s="614" t="s">
        <v>517</v>
      </c>
      <c r="B44" s="623"/>
    </row>
    <row r="45" spans="1:2" x14ac:dyDescent="0.25">
      <c r="A45" s="613" t="s">
        <v>12</v>
      </c>
      <c r="B45" s="613" t="s">
        <v>12</v>
      </c>
    </row>
    <row r="46" spans="1:2" x14ac:dyDescent="0.25">
      <c r="A46" s="614"/>
      <c r="B46" s="615" t="s">
        <v>459</v>
      </c>
    </row>
    <row r="47" spans="1:2" x14ac:dyDescent="0.25">
      <c r="A47" s="613" t="s">
        <v>458</v>
      </c>
      <c r="B47" s="613" t="s">
        <v>458</v>
      </c>
    </row>
    <row r="48" spans="1:2" ht="28.5" x14ac:dyDescent="0.25">
      <c r="A48" s="614" t="s">
        <v>518</v>
      </c>
      <c r="B48" s="614" t="s">
        <v>14</v>
      </c>
    </row>
    <row r="49" spans="1:2" ht="25.5" customHeight="1" x14ac:dyDescent="0.25">
      <c r="A49" s="614" t="s">
        <v>519</v>
      </c>
      <c r="B49" s="614" t="s">
        <v>475</v>
      </c>
    </row>
    <row r="50" spans="1:2" x14ac:dyDescent="0.25">
      <c r="A50" s="613" t="s">
        <v>15</v>
      </c>
      <c r="B50" s="613" t="s">
        <v>15</v>
      </c>
    </row>
    <row r="51" spans="1:2" ht="24.95" customHeight="1" x14ac:dyDescent="0.25">
      <c r="A51" s="614" t="s">
        <v>520</v>
      </c>
      <c r="B51" s="614" t="s">
        <v>437</v>
      </c>
    </row>
    <row r="52" spans="1:2" ht="15" customHeight="1" x14ac:dyDescent="0.25">
      <c r="A52" s="614" t="s">
        <v>521</v>
      </c>
      <c r="B52" s="614" t="s">
        <v>442</v>
      </c>
    </row>
    <row r="53" spans="1:2" ht="15" customHeight="1" x14ac:dyDescent="0.25">
      <c r="A53" s="614" t="s">
        <v>522</v>
      </c>
      <c r="B53" s="623"/>
    </row>
    <row r="54" spans="1:2" ht="15" customHeight="1" x14ac:dyDescent="0.25">
      <c r="A54" s="614" t="s">
        <v>523</v>
      </c>
      <c r="B54" s="623"/>
    </row>
    <row r="55" spans="1:2" ht="15" customHeight="1" x14ac:dyDescent="0.25">
      <c r="A55" s="614" t="s">
        <v>524</v>
      </c>
      <c r="B55" s="623"/>
    </row>
    <row r="56" spans="1:2" x14ac:dyDescent="0.25">
      <c r="A56" s="613" t="s">
        <v>525</v>
      </c>
      <c r="B56" s="613" t="s">
        <v>420</v>
      </c>
    </row>
    <row r="57" spans="1:2" x14ac:dyDescent="0.25">
      <c r="A57" s="614" t="s">
        <v>526</v>
      </c>
      <c r="B57" s="614" t="s">
        <v>17</v>
      </c>
    </row>
    <row r="58" spans="1:2" x14ac:dyDescent="0.25">
      <c r="A58" s="613" t="s">
        <v>18</v>
      </c>
      <c r="B58" s="613" t="s">
        <v>18</v>
      </c>
    </row>
    <row r="59" spans="1:2" x14ac:dyDescent="0.25">
      <c r="A59" s="614" t="s">
        <v>527</v>
      </c>
      <c r="B59" s="614" t="s">
        <v>19</v>
      </c>
    </row>
    <row r="60" spans="1:2" x14ac:dyDescent="0.25">
      <c r="A60" s="613" t="s">
        <v>20</v>
      </c>
      <c r="B60" s="613" t="s">
        <v>20</v>
      </c>
    </row>
    <row r="61" spans="1:2" ht="28.5" x14ac:dyDescent="0.25">
      <c r="A61" s="614" t="s">
        <v>528</v>
      </c>
      <c r="B61" s="619" t="s">
        <v>380</v>
      </c>
    </row>
    <row r="62" spans="1:2" x14ac:dyDescent="0.25">
      <c r="A62" s="618" t="s">
        <v>22</v>
      </c>
      <c r="B62" s="618" t="s">
        <v>22</v>
      </c>
    </row>
    <row r="63" spans="1:2" x14ac:dyDescent="0.25">
      <c r="A63" s="613" t="s">
        <v>23</v>
      </c>
      <c r="B63" s="613" t="s">
        <v>23</v>
      </c>
    </row>
    <row r="64" spans="1:2" x14ac:dyDescent="0.25">
      <c r="A64" s="615" t="s">
        <v>529</v>
      </c>
      <c r="B64" s="615" t="s">
        <v>390</v>
      </c>
    </row>
    <row r="65" spans="1:2" x14ac:dyDescent="0.25">
      <c r="A65" s="615" t="s">
        <v>530</v>
      </c>
      <c r="B65" s="615" t="s">
        <v>391</v>
      </c>
    </row>
    <row r="66" spans="1:2" ht="28.5" x14ac:dyDescent="0.25">
      <c r="A66" s="615" t="s">
        <v>531</v>
      </c>
      <c r="B66" s="614" t="s">
        <v>361</v>
      </c>
    </row>
    <row r="67" spans="1:2" x14ac:dyDescent="0.25">
      <c r="A67" s="614" t="s">
        <v>532</v>
      </c>
      <c r="B67" s="623"/>
    </row>
    <row r="68" spans="1:2" x14ac:dyDescent="0.25">
      <c r="A68" s="614" t="s">
        <v>533</v>
      </c>
      <c r="B68" s="623"/>
    </row>
    <row r="69" spans="1:2" x14ac:dyDescent="0.25">
      <c r="A69" s="616" t="s">
        <v>534</v>
      </c>
      <c r="B69" s="623"/>
    </row>
    <row r="70" spans="1:2" x14ac:dyDescent="0.25">
      <c r="A70" s="614" t="s">
        <v>535</v>
      </c>
      <c r="B70" s="623"/>
    </row>
    <row r="71" spans="1:2" x14ac:dyDescent="0.25">
      <c r="A71" s="614" t="s">
        <v>536</v>
      </c>
      <c r="B71" s="623"/>
    </row>
    <row r="72" spans="1:2" x14ac:dyDescent="0.25">
      <c r="A72" s="613" t="s">
        <v>27</v>
      </c>
      <c r="B72" s="613" t="s">
        <v>27</v>
      </c>
    </row>
    <row r="73" spans="1:2" x14ac:dyDescent="0.25">
      <c r="A73" s="615" t="s">
        <v>537</v>
      </c>
      <c r="B73" s="615" t="s">
        <v>28</v>
      </c>
    </row>
    <row r="74" spans="1:2" x14ac:dyDescent="0.25">
      <c r="A74" s="615" t="s">
        <v>538</v>
      </c>
      <c r="B74" s="623"/>
    </row>
    <row r="75" spans="1:2" x14ac:dyDescent="0.25">
      <c r="A75" s="615" t="s">
        <v>539</v>
      </c>
      <c r="B75" s="623"/>
    </row>
    <row r="76" spans="1:2" x14ac:dyDescent="0.25">
      <c r="A76" s="615" t="s">
        <v>540</v>
      </c>
      <c r="B76" s="623"/>
    </row>
    <row r="77" spans="1:2" x14ac:dyDescent="0.25">
      <c r="A77" s="615" t="s">
        <v>541</v>
      </c>
      <c r="B77" s="623"/>
    </row>
    <row r="78" spans="1:2" x14ac:dyDescent="0.25">
      <c r="A78" s="613" t="s">
        <v>29</v>
      </c>
      <c r="B78" s="613" t="s">
        <v>29</v>
      </c>
    </row>
    <row r="79" spans="1:2" ht="42" customHeight="1" x14ac:dyDescent="0.25">
      <c r="A79" s="614" t="s">
        <v>542</v>
      </c>
      <c r="B79" s="614" t="s">
        <v>365</v>
      </c>
    </row>
    <row r="80" spans="1:2" x14ac:dyDescent="0.25">
      <c r="A80" s="614" t="s">
        <v>543</v>
      </c>
      <c r="B80" s="614" t="s">
        <v>366</v>
      </c>
    </row>
    <row r="81" spans="1:2" x14ac:dyDescent="0.25">
      <c r="A81" s="614" t="s">
        <v>544</v>
      </c>
      <c r="B81" s="620" t="s">
        <v>392</v>
      </c>
    </row>
    <row r="82" spans="1:2" ht="15" customHeight="1" x14ac:dyDescent="0.25">
      <c r="A82" s="614" t="s">
        <v>545</v>
      </c>
      <c r="B82" s="623"/>
    </row>
    <row r="83" spans="1:2" x14ac:dyDescent="0.25">
      <c r="A83" s="614" t="s">
        <v>546</v>
      </c>
      <c r="B83" s="623"/>
    </row>
    <row r="84" spans="1:2" x14ac:dyDescent="0.25">
      <c r="A84" s="614" t="s">
        <v>547</v>
      </c>
      <c r="B84" s="623"/>
    </row>
    <row r="85" spans="1:2" x14ac:dyDescent="0.25">
      <c r="A85" s="614" t="s">
        <v>548</v>
      </c>
      <c r="B85" s="623"/>
    </row>
    <row r="86" spans="1:2" x14ac:dyDescent="0.25">
      <c r="A86" s="614" t="s">
        <v>549</v>
      </c>
      <c r="B86" s="623"/>
    </row>
    <row r="87" spans="1:2" x14ac:dyDescent="0.25">
      <c r="A87" s="614" t="s">
        <v>550</v>
      </c>
      <c r="B87" s="623"/>
    </row>
    <row r="88" spans="1:2" x14ac:dyDescent="0.25">
      <c r="A88" s="618" t="s">
        <v>32</v>
      </c>
      <c r="B88" s="618" t="s">
        <v>32</v>
      </c>
    </row>
    <row r="89" spans="1:2" x14ac:dyDescent="0.25">
      <c r="A89" s="617" t="s">
        <v>33</v>
      </c>
      <c r="B89" s="617" t="s">
        <v>33</v>
      </c>
    </row>
    <row r="90" spans="1:2" x14ac:dyDescent="0.25">
      <c r="A90" s="613" t="s">
        <v>36</v>
      </c>
      <c r="B90" s="613" t="s">
        <v>36</v>
      </c>
    </row>
    <row r="91" spans="1:2" x14ac:dyDescent="0.25">
      <c r="A91" s="614" t="s">
        <v>560</v>
      </c>
      <c r="B91" s="623"/>
    </row>
    <row r="92" spans="1:2" x14ac:dyDescent="0.25">
      <c r="A92" s="613" t="s">
        <v>34</v>
      </c>
      <c r="B92" s="613" t="s">
        <v>34</v>
      </c>
    </row>
    <row r="93" spans="1:2" ht="24.95" customHeight="1" x14ac:dyDescent="0.25">
      <c r="A93" s="614" t="s">
        <v>551</v>
      </c>
      <c r="B93" s="614" t="s">
        <v>35</v>
      </c>
    </row>
    <row r="94" spans="1:2" ht="15" customHeight="1" x14ac:dyDescent="0.25">
      <c r="A94" s="614" t="s">
        <v>552</v>
      </c>
      <c r="B94" s="623"/>
    </row>
    <row r="95" spans="1:2" ht="15" customHeight="1" x14ac:dyDescent="0.25">
      <c r="A95" s="614" t="s">
        <v>553</v>
      </c>
      <c r="B95" s="623"/>
    </row>
    <row r="96" spans="1:2" x14ac:dyDescent="0.25">
      <c r="A96" s="614" t="s">
        <v>554</v>
      </c>
      <c r="B96" s="623"/>
    </row>
    <row r="97" spans="1:2" x14ac:dyDescent="0.25">
      <c r="A97" s="614" t="s">
        <v>555</v>
      </c>
      <c r="B97" s="623"/>
    </row>
    <row r="98" spans="1:2" x14ac:dyDescent="0.25">
      <c r="A98" s="614" t="s">
        <v>556</v>
      </c>
      <c r="B98" s="623"/>
    </row>
    <row r="99" spans="1:2" ht="24.95" customHeight="1" x14ac:dyDescent="0.25">
      <c r="A99" s="614" t="s">
        <v>557</v>
      </c>
      <c r="B99" s="623"/>
    </row>
    <row r="100" spans="1:2" x14ac:dyDescent="0.25">
      <c r="A100" s="614" t="s">
        <v>558</v>
      </c>
      <c r="B100" s="623"/>
    </row>
    <row r="101" spans="1:2" x14ac:dyDescent="0.25">
      <c r="A101" s="614" t="s">
        <v>559</v>
      </c>
      <c r="B101" s="623"/>
    </row>
    <row r="102" spans="1:2" x14ac:dyDescent="0.25">
      <c r="A102" s="617" t="s">
        <v>38</v>
      </c>
      <c r="B102" s="617" t="s">
        <v>38</v>
      </c>
    </row>
    <row r="103" spans="1:2" x14ac:dyDescent="0.25">
      <c r="A103" s="613" t="s">
        <v>561</v>
      </c>
      <c r="B103" s="613" t="s">
        <v>358</v>
      </c>
    </row>
    <row r="104" spans="1:2" x14ac:dyDescent="0.25">
      <c r="A104" s="614" t="s">
        <v>562</v>
      </c>
      <c r="B104" s="614" t="s">
        <v>367</v>
      </c>
    </row>
    <row r="105" spans="1:2" x14ac:dyDescent="0.25">
      <c r="A105" s="614" t="s">
        <v>563</v>
      </c>
      <c r="B105" s="614" t="s">
        <v>472</v>
      </c>
    </row>
    <row r="106" spans="1:2" ht="15" customHeight="1" x14ac:dyDescent="0.25">
      <c r="A106" s="614" t="s">
        <v>564</v>
      </c>
      <c r="B106" s="614" t="s">
        <v>473</v>
      </c>
    </row>
    <row r="107" spans="1:2" ht="28.5" x14ac:dyDescent="0.25">
      <c r="A107" s="614" t="s">
        <v>565</v>
      </c>
      <c r="B107" s="623"/>
    </row>
    <row r="108" spans="1:2" x14ac:dyDescent="0.25">
      <c r="A108" s="613" t="s">
        <v>42</v>
      </c>
      <c r="B108" s="613" t="s">
        <v>42</v>
      </c>
    </row>
    <row r="109" spans="1:2" x14ac:dyDescent="0.25">
      <c r="A109" s="614" t="s">
        <v>566</v>
      </c>
      <c r="B109" s="614" t="s">
        <v>448</v>
      </c>
    </row>
    <row r="110" spans="1:2" x14ac:dyDescent="0.25">
      <c r="A110" s="613" t="s">
        <v>45</v>
      </c>
      <c r="B110" s="613" t="s">
        <v>45</v>
      </c>
    </row>
    <row r="111" spans="1:2" x14ac:dyDescent="0.25">
      <c r="A111" s="614" t="s">
        <v>567</v>
      </c>
      <c r="B111" s="614" t="s">
        <v>775</v>
      </c>
    </row>
    <row r="112" spans="1:2" x14ac:dyDescent="0.25">
      <c r="A112" s="614" t="s">
        <v>568</v>
      </c>
      <c r="B112" s="623"/>
    </row>
    <row r="113" spans="1:2" x14ac:dyDescent="0.25">
      <c r="A113" s="613" t="s">
        <v>46</v>
      </c>
      <c r="B113" s="613" t="s">
        <v>46</v>
      </c>
    </row>
    <row r="114" spans="1:2" ht="24.95" customHeight="1" x14ac:dyDescent="0.25">
      <c r="A114" s="614" t="s">
        <v>569</v>
      </c>
      <c r="B114" s="621" t="s">
        <v>47</v>
      </c>
    </row>
    <row r="115" spans="1:2" x14ac:dyDescent="0.25">
      <c r="A115" s="617" t="s">
        <v>48</v>
      </c>
      <c r="B115" s="617" t="s">
        <v>48</v>
      </c>
    </row>
    <row r="116" spans="1:2" x14ac:dyDescent="0.25">
      <c r="A116" s="614"/>
      <c r="B116" s="614" t="s">
        <v>49</v>
      </c>
    </row>
    <row r="117" spans="1:2" x14ac:dyDescent="0.25">
      <c r="A117" s="618" t="s">
        <v>51</v>
      </c>
      <c r="B117" s="618" t="s">
        <v>51</v>
      </c>
    </row>
    <row r="118" spans="1:2" x14ac:dyDescent="0.25">
      <c r="A118" s="617" t="s">
        <v>52</v>
      </c>
      <c r="B118" s="617" t="s">
        <v>52</v>
      </c>
    </row>
    <row r="119" spans="1:2" x14ac:dyDescent="0.25">
      <c r="A119" s="613" t="s">
        <v>53</v>
      </c>
      <c r="B119" s="613" t="s">
        <v>53</v>
      </c>
    </row>
    <row r="120" spans="1:2" x14ac:dyDescent="0.25">
      <c r="A120" s="613" t="s">
        <v>58</v>
      </c>
      <c r="B120" s="613" t="s">
        <v>58</v>
      </c>
    </row>
    <row r="121" spans="1:2" x14ac:dyDescent="0.25">
      <c r="A121" s="623"/>
      <c r="B121" s="614" t="s">
        <v>59</v>
      </c>
    </row>
    <row r="122" spans="1:2" x14ac:dyDescent="0.25">
      <c r="A122" s="617" t="s">
        <v>248</v>
      </c>
      <c r="B122" s="617" t="s">
        <v>248</v>
      </c>
    </row>
    <row r="123" spans="1:2" x14ac:dyDescent="0.25">
      <c r="A123" s="613" t="s">
        <v>54</v>
      </c>
      <c r="B123" s="613" t="s">
        <v>54</v>
      </c>
    </row>
    <row r="124" spans="1:2" ht="24.95" customHeight="1" x14ac:dyDescent="0.25">
      <c r="A124" s="614" t="s">
        <v>570</v>
      </c>
      <c r="B124" s="614" t="s">
        <v>455</v>
      </c>
    </row>
    <row r="125" spans="1:2" x14ac:dyDescent="0.25">
      <c r="A125" s="623"/>
      <c r="B125" s="614" t="s">
        <v>57</v>
      </c>
    </row>
    <row r="126" spans="1:2" x14ac:dyDescent="0.25">
      <c r="A126" s="613" t="s">
        <v>249</v>
      </c>
      <c r="B126" s="613" t="s">
        <v>249</v>
      </c>
    </row>
    <row r="127" spans="1:2" ht="24.95" customHeight="1" x14ac:dyDescent="0.25">
      <c r="A127" s="614" t="s">
        <v>571</v>
      </c>
      <c r="B127" s="614" t="s">
        <v>56</v>
      </c>
    </row>
    <row r="128" spans="1:2" x14ac:dyDescent="0.25">
      <c r="A128" s="614" t="s">
        <v>572</v>
      </c>
      <c r="B128" s="623"/>
    </row>
    <row r="129" spans="1:2" x14ac:dyDescent="0.25">
      <c r="A129" s="614" t="s">
        <v>573</v>
      </c>
      <c r="B129" s="623"/>
    </row>
    <row r="130" spans="1:2" x14ac:dyDescent="0.25">
      <c r="A130" s="618" t="s">
        <v>60</v>
      </c>
      <c r="B130" s="618" t="s">
        <v>60</v>
      </c>
    </row>
    <row r="131" spans="1:2" x14ac:dyDescent="0.25">
      <c r="A131" s="613" t="s">
        <v>61</v>
      </c>
      <c r="B131" s="613" t="s">
        <v>61</v>
      </c>
    </row>
    <row r="132" spans="1:2" x14ac:dyDescent="0.25">
      <c r="A132" s="614" t="s">
        <v>574</v>
      </c>
      <c r="B132" s="614" t="s">
        <v>62</v>
      </c>
    </row>
    <row r="133" spans="1:2" x14ac:dyDescent="0.25">
      <c r="A133" s="614" t="s">
        <v>575</v>
      </c>
      <c r="B133" s="615" t="s">
        <v>64</v>
      </c>
    </row>
    <row r="134" spans="1:2" x14ac:dyDescent="0.25">
      <c r="A134" s="614" t="s">
        <v>576</v>
      </c>
      <c r="B134" s="621" t="s">
        <v>65</v>
      </c>
    </row>
    <row r="135" spans="1:2" x14ac:dyDescent="0.25">
      <c r="A135" s="615" t="s">
        <v>577</v>
      </c>
      <c r="B135" s="623"/>
    </row>
    <row r="136" spans="1:2" ht="24.95" customHeight="1" x14ac:dyDescent="0.25">
      <c r="A136" s="615" t="s">
        <v>578</v>
      </c>
      <c r="B136" s="623"/>
    </row>
    <row r="137" spans="1:2" x14ac:dyDescent="0.25">
      <c r="A137" s="615" t="s">
        <v>579</v>
      </c>
      <c r="B137" s="623"/>
    </row>
    <row r="138" spans="1:2" x14ac:dyDescent="0.25">
      <c r="A138" s="615" t="s">
        <v>580</v>
      </c>
      <c r="B138" s="623"/>
    </row>
    <row r="139" spans="1:2" x14ac:dyDescent="0.25">
      <c r="A139" s="614" t="s">
        <v>581</v>
      </c>
      <c r="B139" s="623"/>
    </row>
    <row r="140" spans="1:2" x14ac:dyDescent="0.25">
      <c r="A140" s="614" t="s">
        <v>582</v>
      </c>
      <c r="B140" s="623"/>
    </row>
    <row r="141" spans="1:2" x14ac:dyDescent="0.25">
      <c r="A141" s="614" t="s">
        <v>583</v>
      </c>
      <c r="B141" s="623"/>
    </row>
    <row r="142" spans="1:2" x14ac:dyDescent="0.25">
      <c r="A142" s="613" t="s">
        <v>66</v>
      </c>
      <c r="B142" s="613" t="s">
        <v>66</v>
      </c>
    </row>
    <row r="143" spans="1:2" x14ac:dyDescent="0.25">
      <c r="A143" s="614" t="s">
        <v>584</v>
      </c>
      <c r="B143" s="614" t="s">
        <v>67</v>
      </c>
    </row>
    <row r="144" spans="1:2" ht="24.95" customHeight="1" x14ac:dyDescent="0.25">
      <c r="A144" s="614" t="s">
        <v>585</v>
      </c>
      <c r="B144" s="621" t="s">
        <v>68</v>
      </c>
    </row>
    <row r="145" spans="1:2" ht="28.5" x14ac:dyDescent="0.25">
      <c r="A145" s="614" t="s">
        <v>586</v>
      </c>
      <c r="B145" s="614" t="s">
        <v>69</v>
      </c>
    </row>
    <row r="146" spans="1:2" x14ac:dyDescent="0.25">
      <c r="A146" s="614" t="s">
        <v>587</v>
      </c>
      <c r="B146" s="623"/>
    </row>
    <row r="147" spans="1:2" x14ac:dyDescent="0.25">
      <c r="A147" s="614" t="s">
        <v>588</v>
      </c>
      <c r="B147" s="623"/>
    </row>
    <row r="148" spans="1:2" x14ac:dyDescent="0.25">
      <c r="A148" s="614" t="s">
        <v>589</v>
      </c>
      <c r="B148" s="623"/>
    </row>
    <row r="149" spans="1:2" x14ac:dyDescent="0.25">
      <c r="A149" s="614" t="s">
        <v>590</v>
      </c>
      <c r="B149" s="623"/>
    </row>
    <row r="150" spans="1:2" x14ac:dyDescent="0.25">
      <c r="A150" s="614" t="s">
        <v>591</v>
      </c>
      <c r="B150" s="623"/>
    </row>
    <row r="151" spans="1:2" ht="24.95" customHeight="1" x14ac:dyDescent="0.25">
      <c r="A151" s="614" t="s">
        <v>592</v>
      </c>
      <c r="B151" s="623"/>
    </row>
    <row r="152" spans="1:2" x14ac:dyDescent="0.25">
      <c r="A152" s="614" t="s">
        <v>593</v>
      </c>
      <c r="B152" s="623"/>
    </row>
    <row r="153" spans="1:2" x14ac:dyDescent="0.25">
      <c r="A153" s="614" t="s">
        <v>594</v>
      </c>
      <c r="B153" s="623"/>
    </row>
    <row r="154" spans="1:2" x14ac:dyDescent="0.25">
      <c r="A154" s="614" t="s">
        <v>595</v>
      </c>
      <c r="B154" s="623"/>
    </row>
    <row r="155" spans="1:2" x14ac:dyDescent="0.25">
      <c r="A155" s="614" t="s">
        <v>596</v>
      </c>
      <c r="B155" s="623"/>
    </row>
    <row r="156" spans="1:2" x14ac:dyDescent="0.25">
      <c r="A156" s="614" t="s">
        <v>597</v>
      </c>
      <c r="B156" s="623"/>
    </row>
    <row r="157" spans="1:2" x14ac:dyDescent="0.25">
      <c r="A157" s="614" t="s">
        <v>598</v>
      </c>
      <c r="B157" s="623"/>
    </row>
    <row r="158" spans="1:2" x14ac:dyDescent="0.25">
      <c r="A158" s="614" t="s">
        <v>599</v>
      </c>
      <c r="B158" s="623"/>
    </row>
    <row r="159" spans="1:2" x14ac:dyDescent="0.25">
      <c r="A159" s="614" t="s">
        <v>600</v>
      </c>
      <c r="B159" s="623"/>
    </row>
    <row r="160" spans="1:2" x14ac:dyDescent="0.25">
      <c r="A160" s="613" t="s">
        <v>70</v>
      </c>
      <c r="B160" s="613" t="s">
        <v>70</v>
      </c>
    </row>
    <row r="161" spans="1:2" x14ac:dyDescent="0.25">
      <c r="A161" s="614" t="s">
        <v>601</v>
      </c>
      <c r="B161" s="621" t="s">
        <v>71</v>
      </c>
    </row>
    <row r="162" spans="1:2" x14ac:dyDescent="0.25">
      <c r="A162" s="613" t="s">
        <v>72</v>
      </c>
      <c r="B162" s="613" t="s">
        <v>72</v>
      </c>
    </row>
    <row r="163" spans="1:2" x14ac:dyDescent="0.25">
      <c r="A163" s="614"/>
      <c r="B163" s="614" t="s">
        <v>73</v>
      </c>
    </row>
    <row r="164" spans="1:2" x14ac:dyDescent="0.25">
      <c r="A164" s="613" t="s">
        <v>74</v>
      </c>
      <c r="B164" s="613" t="s">
        <v>74</v>
      </c>
    </row>
    <row r="165" spans="1:2" ht="24.95" customHeight="1" x14ac:dyDescent="0.25">
      <c r="A165" s="614" t="s">
        <v>602</v>
      </c>
      <c r="B165" s="614" t="s">
        <v>75</v>
      </c>
    </row>
    <row r="166" spans="1:2" x14ac:dyDescent="0.25">
      <c r="A166" s="614" t="s">
        <v>603</v>
      </c>
      <c r="B166" s="614" t="s">
        <v>433</v>
      </c>
    </row>
    <row r="167" spans="1:2" x14ac:dyDescent="0.25">
      <c r="A167" s="614" t="s">
        <v>604</v>
      </c>
      <c r="B167" s="614" t="s">
        <v>77</v>
      </c>
    </row>
    <row r="168" spans="1:2" x14ac:dyDescent="0.25">
      <c r="A168" s="614" t="s">
        <v>605</v>
      </c>
      <c r="B168" s="623"/>
    </row>
    <row r="169" spans="1:2" x14ac:dyDescent="0.25">
      <c r="A169" s="614" t="s">
        <v>606</v>
      </c>
      <c r="B169" s="623"/>
    </row>
    <row r="170" spans="1:2" x14ac:dyDescent="0.25">
      <c r="A170" s="614" t="s">
        <v>607</v>
      </c>
      <c r="B170" s="623"/>
    </row>
    <row r="171" spans="1:2" x14ac:dyDescent="0.25">
      <c r="A171" s="614" t="s">
        <v>608</v>
      </c>
      <c r="B171" s="623"/>
    </row>
    <row r="172" spans="1:2" x14ac:dyDescent="0.25">
      <c r="A172" s="614" t="s">
        <v>609</v>
      </c>
      <c r="B172" s="623"/>
    </row>
    <row r="173" spans="1:2" x14ac:dyDescent="0.25">
      <c r="A173" s="613" t="s">
        <v>78</v>
      </c>
      <c r="B173" s="613" t="s">
        <v>78</v>
      </c>
    </row>
    <row r="174" spans="1:2" ht="24.95" customHeight="1" x14ac:dyDescent="0.25">
      <c r="A174" s="614" t="s">
        <v>610</v>
      </c>
      <c r="B174" s="614" t="s">
        <v>79</v>
      </c>
    </row>
    <row r="175" spans="1:2" ht="24.95" customHeight="1" x14ac:dyDescent="0.25">
      <c r="A175" s="614" t="s">
        <v>611</v>
      </c>
      <c r="B175" s="614" t="s">
        <v>80</v>
      </c>
    </row>
    <row r="176" spans="1:2" x14ac:dyDescent="0.25">
      <c r="A176" s="614" t="s">
        <v>612</v>
      </c>
      <c r="B176" s="623"/>
    </row>
    <row r="177" spans="1:2" x14ac:dyDescent="0.25">
      <c r="A177" s="614" t="s">
        <v>613</v>
      </c>
      <c r="B177" s="623"/>
    </row>
    <row r="178" spans="1:2" ht="28.5" x14ac:dyDescent="0.25">
      <c r="A178" s="614" t="s">
        <v>614</v>
      </c>
      <c r="B178" s="623"/>
    </row>
    <row r="179" spans="1:2" x14ac:dyDescent="0.25">
      <c r="A179" s="614" t="s">
        <v>615</v>
      </c>
      <c r="B179" s="623"/>
    </row>
    <row r="180" spans="1:2" x14ac:dyDescent="0.25">
      <c r="A180" s="614" t="s">
        <v>616</v>
      </c>
      <c r="B180" s="623"/>
    </row>
    <row r="181" spans="1:2" x14ac:dyDescent="0.25">
      <c r="A181" s="614" t="s">
        <v>617</v>
      </c>
      <c r="B181" s="623"/>
    </row>
    <row r="182" spans="1:2" x14ac:dyDescent="0.25">
      <c r="A182" s="614" t="s">
        <v>618</v>
      </c>
      <c r="B182" s="623"/>
    </row>
    <row r="183" spans="1:2" x14ac:dyDescent="0.25">
      <c r="A183" s="614" t="s">
        <v>619</v>
      </c>
      <c r="B183" s="623"/>
    </row>
    <row r="184" spans="1:2" x14ac:dyDescent="0.25">
      <c r="A184" s="614" t="s">
        <v>620</v>
      </c>
      <c r="B184" s="623"/>
    </row>
    <row r="185" spans="1:2" x14ac:dyDescent="0.25">
      <c r="A185" s="614" t="s">
        <v>621</v>
      </c>
      <c r="B185" s="623"/>
    </row>
    <row r="186" spans="1:2" x14ac:dyDescent="0.25">
      <c r="A186" s="614" t="s">
        <v>622</v>
      </c>
      <c r="B186" s="623"/>
    </row>
    <row r="187" spans="1:2" x14ac:dyDescent="0.25">
      <c r="A187" s="613" t="s">
        <v>82</v>
      </c>
      <c r="B187" s="613" t="s">
        <v>82</v>
      </c>
    </row>
    <row r="188" spans="1:2" x14ac:dyDescent="0.25">
      <c r="A188" s="614" t="s">
        <v>623</v>
      </c>
      <c r="B188" s="614" t="s">
        <v>83</v>
      </c>
    </row>
    <row r="189" spans="1:2" x14ac:dyDescent="0.25">
      <c r="A189" s="614" t="s">
        <v>624</v>
      </c>
      <c r="B189" s="623"/>
    </row>
    <row r="190" spans="1:2" x14ac:dyDescent="0.25">
      <c r="A190" s="613" t="s">
        <v>84</v>
      </c>
      <c r="B190" s="613" t="s">
        <v>84</v>
      </c>
    </row>
    <row r="191" spans="1:2" x14ac:dyDescent="0.25">
      <c r="A191" s="614" t="s">
        <v>625</v>
      </c>
      <c r="B191" s="614" t="s">
        <v>470</v>
      </c>
    </row>
    <row r="192" spans="1:2" x14ac:dyDescent="0.25">
      <c r="A192" s="614" t="s">
        <v>626</v>
      </c>
      <c r="B192" s="621" t="s">
        <v>86</v>
      </c>
    </row>
    <row r="193" spans="1:2" ht="24.95" customHeight="1" x14ac:dyDescent="0.25">
      <c r="A193" s="614" t="s">
        <v>627</v>
      </c>
      <c r="B193" s="614" t="s">
        <v>88</v>
      </c>
    </row>
    <row r="194" spans="1:2" x14ac:dyDescent="0.25">
      <c r="A194" s="614" t="s">
        <v>628</v>
      </c>
      <c r="B194" s="623"/>
    </row>
    <row r="195" spans="1:2" x14ac:dyDescent="0.25">
      <c r="A195" s="614" t="s">
        <v>629</v>
      </c>
      <c r="B195" s="623"/>
    </row>
    <row r="196" spans="1:2" x14ac:dyDescent="0.25">
      <c r="A196" s="614" t="s">
        <v>630</v>
      </c>
      <c r="B196" s="623"/>
    </row>
    <row r="197" spans="1:2" x14ac:dyDescent="0.25">
      <c r="A197" s="614" t="s">
        <v>631</v>
      </c>
      <c r="B197" s="623"/>
    </row>
    <row r="198" spans="1:2" x14ac:dyDescent="0.25">
      <c r="A198" s="613" t="s">
        <v>89</v>
      </c>
      <c r="B198" s="613" t="s">
        <v>89</v>
      </c>
    </row>
    <row r="199" spans="1:2" ht="28.5" x14ac:dyDescent="0.25">
      <c r="A199" s="614" t="s">
        <v>632</v>
      </c>
      <c r="B199" s="614" t="s">
        <v>90</v>
      </c>
    </row>
    <row r="200" spans="1:2" ht="24.95" customHeight="1" x14ac:dyDescent="0.25">
      <c r="A200" s="614" t="s">
        <v>633</v>
      </c>
      <c r="B200" s="614" t="s">
        <v>91</v>
      </c>
    </row>
    <row r="201" spans="1:2" ht="24.95" customHeight="1" x14ac:dyDescent="0.25">
      <c r="A201" s="614" t="s">
        <v>634</v>
      </c>
      <c r="B201" s="614" t="s">
        <v>466</v>
      </c>
    </row>
    <row r="202" spans="1:2" x14ac:dyDescent="0.25">
      <c r="A202" s="614" t="s">
        <v>635</v>
      </c>
      <c r="B202" s="623"/>
    </row>
    <row r="203" spans="1:2" x14ac:dyDescent="0.25">
      <c r="A203" s="614" t="s">
        <v>636</v>
      </c>
      <c r="B203" s="623"/>
    </row>
    <row r="204" spans="1:2" x14ac:dyDescent="0.25">
      <c r="A204" s="614" t="s">
        <v>637</v>
      </c>
      <c r="B204" s="623"/>
    </row>
    <row r="205" spans="1:2" x14ac:dyDescent="0.25">
      <c r="A205" s="614" t="s">
        <v>638</v>
      </c>
      <c r="B205" s="623"/>
    </row>
    <row r="206" spans="1:2" x14ac:dyDescent="0.25">
      <c r="A206" s="614" t="s">
        <v>639</v>
      </c>
      <c r="B206" s="623"/>
    </row>
    <row r="207" spans="1:2" x14ac:dyDescent="0.25">
      <c r="A207" s="614" t="s">
        <v>640</v>
      </c>
      <c r="B207" s="623"/>
    </row>
    <row r="208" spans="1:2" x14ac:dyDescent="0.25">
      <c r="A208" s="614" t="s">
        <v>641</v>
      </c>
      <c r="B208" s="623"/>
    </row>
    <row r="209" spans="1:2" x14ac:dyDescent="0.25">
      <c r="A209" s="614" t="s">
        <v>642</v>
      </c>
      <c r="B209" s="623"/>
    </row>
    <row r="210" spans="1:2" x14ac:dyDescent="0.25">
      <c r="A210" s="613" t="s">
        <v>93</v>
      </c>
      <c r="B210" s="613" t="s">
        <v>93</v>
      </c>
    </row>
    <row r="211" spans="1:2" x14ac:dyDescent="0.25">
      <c r="A211" s="614" t="s">
        <v>643</v>
      </c>
      <c r="B211" s="614" t="s">
        <v>94</v>
      </c>
    </row>
    <row r="212" spans="1:2" x14ac:dyDescent="0.25">
      <c r="A212" s="614" t="s">
        <v>644</v>
      </c>
      <c r="B212" s="623"/>
    </row>
    <row r="213" spans="1:2" x14ac:dyDescent="0.25">
      <c r="A213" s="614" t="s">
        <v>645</v>
      </c>
      <c r="B213" s="623"/>
    </row>
    <row r="214" spans="1:2" x14ac:dyDescent="0.25">
      <c r="A214" s="614" t="s">
        <v>646</v>
      </c>
      <c r="B214" s="623"/>
    </row>
    <row r="215" spans="1:2" x14ac:dyDescent="0.25">
      <c r="A215" s="615" t="s">
        <v>647</v>
      </c>
      <c r="B215" s="623"/>
    </row>
    <row r="216" spans="1:2" x14ac:dyDescent="0.25">
      <c r="A216" s="615" t="s">
        <v>648</v>
      </c>
      <c r="B216" s="623"/>
    </row>
    <row r="217" spans="1:2" x14ac:dyDescent="0.25">
      <c r="A217" s="615" t="s">
        <v>649</v>
      </c>
      <c r="B217" s="623"/>
    </row>
    <row r="218" spans="1:2" x14ac:dyDescent="0.25">
      <c r="A218" s="615" t="s">
        <v>650</v>
      </c>
      <c r="B218" s="623"/>
    </row>
    <row r="219" spans="1:2" x14ac:dyDescent="0.25">
      <c r="A219" s="613" t="s">
        <v>95</v>
      </c>
      <c r="B219" s="613" t="s">
        <v>95</v>
      </c>
    </row>
    <row r="220" spans="1:2" x14ac:dyDescent="0.25">
      <c r="A220" s="614" t="s">
        <v>99</v>
      </c>
      <c r="B220" s="614" t="s">
        <v>96</v>
      </c>
    </row>
    <row r="221" spans="1:2" x14ac:dyDescent="0.25">
      <c r="A221" s="614" t="s">
        <v>651</v>
      </c>
      <c r="B221" s="623"/>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E149"/>
  <sheetViews>
    <sheetView showGridLines="0" zoomScaleNormal="100" zoomScalePageLayoutView="130" workbookViewId="0">
      <pane xSplit="3" ySplit="3" topLeftCell="G75" activePane="bottomRight" state="frozen"/>
      <selection pane="topRight" activeCell="D1" sqref="D1"/>
      <selection pane="bottomLeft" activeCell="A4" sqref="A4"/>
      <selection pane="bottomRight" activeCell="C4" sqref="C4:C98"/>
    </sheetView>
  </sheetViews>
  <sheetFormatPr baseColWidth="10" defaultColWidth="8.7109375" defaultRowHeight="12.75" x14ac:dyDescent="0.25"/>
  <cols>
    <col min="1" max="1" width="1.85546875" style="102" customWidth="1"/>
    <col min="2" max="2" width="11.140625" style="102" customWidth="1"/>
    <col min="3" max="3" width="90.7109375" style="102" customWidth="1"/>
    <col min="4" max="4" width="6.140625" style="102" customWidth="1"/>
    <col min="5" max="5" width="10.85546875" style="102" customWidth="1"/>
    <col min="6" max="6" width="10.140625" style="102" customWidth="1"/>
    <col min="7" max="7" width="9.28515625" style="102" customWidth="1"/>
    <col min="8" max="8" width="27.28515625" style="102" customWidth="1"/>
    <col min="9" max="9" width="13.28515625" style="350" customWidth="1"/>
    <col min="10" max="10" width="16.7109375" style="102" customWidth="1"/>
    <col min="11" max="11" width="14.85546875" style="102" customWidth="1"/>
    <col min="12" max="12" width="14.42578125" style="102" customWidth="1"/>
    <col min="13" max="13" width="19.5703125" style="102" customWidth="1"/>
    <col min="14" max="14" width="2.7109375" style="102" customWidth="1"/>
    <col min="15" max="17" width="1.7109375" style="102" customWidth="1"/>
    <col min="18" max="18" width="1.5703125" style="102" customWidth="1"/>
    <col min="19" max="34" width="1.7109375" style="102" customWidth="1"/>
    <col min="35" max="35" width="63.7109375" style="102" customWidth="1"/>
    <col min="36" max="45" width="11.7109375" style="102" customWidth="1"/>
    <col min="46" max="47" width="1.7109375" style="102" customWidth="1"/>
    <col min="48" max="56" width="11.7109375" style="102" customWidth="1"/>
    <col min="57" max="59" width="1.7109375" style="102" customWidth="1"/>
    <col min="60" max="61" width="8.7109375" style="102"/>
    <col min="62" max="62" width="14.7109375" style="102" customWidth="1"/>
    <col min="63" max="71" width="12.7109375" style="102" customWidth="1"/>
    <col min="72" max="72" width="13.7109375" style="102" customWidth="1"/>
    <col min="73" max="73" width="9.28515625" style="102" bestFit="1" customWidth="1"/>
    <col min="74" max="75" width="9.140625" style="102" bestFit="1" customWidth="1"/>
    <col min="76" max="76" width="8.7109375" style="102"/>
    <col min="77" max="94" width="12.7109375" style="102" customWidth="1"/>
    <col min="95" max="95" width="13.7109375" style="102" customWidth="1"/>
    <col min="96" max="96" width="8.7109375" style="102"/>
    <col min="97" max="97" width="11.140625" style="102" bestFit="1" customWidth="1"/>
    <col min="98" max="102" width="8.7109375" style="102"/>
    <col min="103" max="103" width="12" style="102" customWidth="1"/>
    <col min="104" max="104" width="8.7109375" style="102"/>
    <col min="105" max="105" width="32.28515625" style="102" customWidth="1"/>
    <col min="106" max="107" width="12" style="102" bestFit="1" customWidth="1"/>
    <col min="108" max="108" width="9" style="102" bestFit="1" customWidth="1"/>
    <col min="109" max="16384" width="8.7109375" style="102"/>
  </cols>
  <sheetData>
    <row r="1" spans="1:105" s="103" customFormat="1" ht="24.95" customHeight="1" thickBot="1" x14ac:dyDescent="0.3">
      <c r="B1" s="369" t="s">
        <v>225</v>
      </c>
      <c r="C1" s="102"/>
      <c r="D1" s="102"/>
      <c r="E1" s="102"/>
      <c r="F1" s="102"/>
      <c r="G1" s="102"/>
      <c r="H1" s="102"/>
      <c r="I1" s="102"/>
      <c r="O1" s="102" t="s">
        <v>389</v>
      </c>
      <c r="P1" s="587" t="s">
        <v>0</v>
      </c>
      <c r="Q1" s="588"/>
      <c r="R1" s="588"/>
      <c r="S1" s="588"/>
      <c r="T1" s="588"/>
      <c r="U1" s="588"/>
      <c r="V1" s="588"/>
      <c r="W1" s="588"/>
      <c r="X1" s="588"/>
      <c r="Y1" s="588"/>
      <c r="Z1" s="588"/>
      <c r="AA1" s="588"/>
      <c r="AB1" s="588"/>
      <c r="AC1" s="588"/>
      <c r="AD1" s="588"/>
      <c r="AE1" s="588"/>
      <c r="AF1" s="589"/>
      <c r="AG1" s="590" t="s">
        <v>260</v>
      </c>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2"/>
      <c r="BG1" s="593" t="s">
        <v>261</v>
      </c>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5"/>
      <c r="DA1" s="574" t="s">
        <v>262</v>
      </c>
    </row>
    <row r="2" spans="1:105" s="103" customFormat="1" ht="29.25" customHeight="1" x14ac:dyDescent="0.25">
      <c r="A2" s="565" t="s">
        <v>408</v>
      </c>
      <c r="B2" s="565" t="s">
        <v>663</v>
      </c>
      <c r="C2" s="565" t="s">
        <v>416</v>
      </c>
      <c r="D2" s="104" t="s">
        <v>354</v>
      </c>
      <c r="E2" s="567" t="s">
        <v>0</v>
      </c>
      <c r="F2" s="568"/>
      <c r="G2" s="568"/>
      <c r="H2" s="569"/>
      <c r="I2" s="105" t="s">
        <v>247</v>
      </c>
      <c r="J2" s="105" t="s">
        <v>241</v>
      </c>
      <c r="K2" s="559" t="s">
        <v>251</v>
      </c>
      <c r="L2" s="560"/>
      <c r="M2" s="561"/>
      <c r="O2" s="565" t="s">
        <v>416</v>
      </c>
      <c r="P2" s="572" t="s">
        <v>263</v>
      </c>
      <c r="Q2" s="576" t="s">
        <v>264</v>
      </c>
      <c r="R2" s="576" t="s">
        <v>265</v>
      </c>
      <c r="S2" s="576"/>
      <c r="T2" s="576"/>
      <c r="U2" s="576"/>
      <c r="V2" s="576"/>
      <c r="W2" s="576"/>
      <c r="X2" s="576"/>
      <c r="Y2" s="576"/>
      <c r="Z2" s="576"/>
      <c r="AA2" s="576"/>
      <c r="AB2" s="576"/>
      <c r="AC2" s="576"/>
      <c r="AD2" s="576"/>
      <c r="AE2" s="576"/>
      <c r="AF2" s="577"/>
      <c r="AG2" s="562" t="s">
        <v>266</v>
      </c>
      <c r="AH2" s="563" t="s">
        <v>267</v>
      </c>
      <c r="AI2" s="563" t="s">
        <v>268</v>
      </c>
      <c r="AJ2" s="563" t="s">
        <v>269</v>
      </c>
      <c r="AK2" s="578" t="s">
        <v>270</v>
      </c>
      <c r="AL2" s="579"/>
      <c r="AM2" s="579"/>
      <c r="AN2" s="579"/>
      <c r="AO2" s="579"/>
      <c r="AP2" s="579"/>
      <c r="AQ2" s="579"/>
      <c r="AR2" s="579"/>
      <c r="AS2" s="579"/>
      <c r="AT2" s="579"/>
      <c r="AU2" s="580"/>
      <c r="AV2" s="578" t="s">
        <v>271</v>
      </c>
      <c r="AW2" s="579"/>
      <c r="AX2" s="579"/>
      <c r="AY2" s="579"/>
      <c r="AZ2" s="579"/>
      <c r="BA2" s="579"/>
      <c r="BB2" s="579"/>
      <c r="BC2" s="579"/>
      <c r="BD2" s="579"/>
      <c r="BE2" s="579"/>
      <c r="BF2" s="580"/>
      <c r="BG2" s="573" t="s">
        <v>272</v>
      </c>
      <c r="BH2" s="571" t="s">
        <v>273</v>
      </c>
      <c r="BI2" s="571" t="s">
        <v>511</v>
      </c>
      <c r="BJ2" s="581" t="s">
        <v>275</v>
      </c>
      <c r="BK2" s="583" t="s">
        <v>276</v>
      </c>
      <c r="BL2" s="584"/>
      <c r="BM2" s="584"/>
      <c r="BN2" s="584"/>
      <c r="BO2" s="584"/>
      <c r="BP2" s="584"/>
      <c r="BQ2" s="584"/>
      <c r="BR2" s="584"/>
      <c r="BS2" s="584"/>
      <c r="BT2" s="585"/>
      <c r="BU2" s="584" t="s">
        <v>277</v>
      </c>
      <c r="BV2" s="584"/>
      <c r="BW2" s="584"/>
      <c r="BX2" s="584"/>
      <c r="BY2" s="583" t="s">
        <v>278</v>
      </c>
      <c r="BZ2" s="584"/>
      <c r="CA2" s="584"/>
      <c r="CB2" s="584"/>
      <c r="CC2" s="584"/>
      <c r="CD2" s="584"/>
      <c r="CE2" s="584"/>
      <c r="CF2" s="584"/>
      <c r="CG2" s="585"/>
      <c r="CH2" s="584" t="s">
        <v>279</v>
      </c>
      <c r="CI2" s="584"/>
      <c r="CJ2" s="584"/>
      <c r="CK2" s="584"/>
      <c r="CL2" s="584"/>
      <c r="CM2" s="584"/>
      <c r="CN2" s="584"/>
      <c r="CO2" s="584"/>
      <c r="CP2" s="584"/>
      <c r="CQ2" s="584"/>
      <c r="CR2" s="583" t="s">
        <v>280</v>
      </c>
      <c r="CS2" s="584"/>
      <c r="CT2" s="584"/>
      <c r="CU2" s="584"/>
      <c r="CV2" s="584"/>
      <c r="CW2" s="584"/>
      <c r="CX2" s="584"/>
      <c r="CY2" s="584"/>
      <c r="CZ2" s="586"/>
      <c r="DA2" s="575"/>
    </row>
    <row r="3" spans="1:105" s="103" customFormat="1" ht="46.5" customHeight="1" x14ac:dyDescent="0.25">
      <c r="A3" s="566"/>
      <c r="B3" s="566"/>
      <c r="C3" s="566"/>
      <c r="D3" s="106"/>
      <c r="E3" s="107" t="s">
        <v>143</v>
      </c>
      <c r="F3" s="108" t="s">
        <v>417</v>
      </c>
      <c r="G3" s="108" t="s">
        <v>418</v>
      </c>
      <c r="H3" s="109" t="s">
        <v>142</v>
      </c>
      <c r="I3" s="110" t="s">
        <v>243</v>
      </c>
      <c r="J3" s="110" t="s">
        <v>224</v>
      </c>
      <c r="K3" s="562" t="s">
        <v>252</v>
      </c>
      <c r="L3" s="563"/>
      <c r="M3" s="564"/>
      <c r="O3" s="566"/>
      <c r="P3" s="572"/>
      <c r="Q3" s="576"/>
      <c r="R3" s="111" t="s">
        <v>1</v>
      </c>
      <c r="S3" s="111" t="s">
        <v>2</v>
      </c>
      <c r="T3" s="111" t="s">
        <v>281</v>
      </c>
      <c r="U3" s="111" t="s">
        <v>3</v>
      </c>
      <c r="V3" s="111" t="s">
        <v>282</v>
      </c>
      <c r="W3" s="111" t="s">
        <v>283</v>
      </c>
      <c r="X3" s="111" t="s">
        <v>4</v>
      </c>
      <c r="Y3" s="111" t="s">
        <v>284</v>
      </c>
      <c r="Z3" s="111" t="s">
        <v>285</v>
      </c>
      <c r="AA3" s="111" t="s">
        <v>286</v>
      </c>
      <c r="AB3" s="111" t="s">
        <v>287</v>
      </c>
      <c r="AC3" s="111" t="s">
        <v>5</v>
      </c>
      <c r="AD3" s="111" t="s">
        <v>288</v>
      </c>
      <c r="AE3" s="111" t="s">
        <v>6</v>
      </c>
      <c r="AF3" s="112" t="s">
        <v>289</v>
      </c>
      <c r="AG3" s="562"/>
      <c r="AH3" s="563"/>
      <c r="AI3" s="563"/>
      <c r="AJ3" s="563"/>
      <c r="AK3" s="113">
        <v>2017</v>
      </c>
      <c r="AL3" s="113">
        <v>2018</v>
      </c>
      <c r="AM3" s="113">
        <v>2019</v>
      </c>
      <c r="AN3" s="113">
        <v>2020</v>
      </c>
      <c r="AO3" s="113">
        <v>2021</v>
      </c>
      <c r="AP3" s="113">
        <v>2022</v>
      </c>
      <c r="AQ3" s="113">
        <v>2023</v>
      </c>
      <c r="AR3" s="113">
        <v>2024</v>
      </c>
      <c r="AS3" s="113">
        <v>2025</v>
      </c>
      <c r="AT3" s="113" t="s">
        <v>290</v>
      </c>
      <c r="AU3" s="113" t="s">
        <v>291</v>
      </c>
      <c r="AV3" s="113">
        <v>2017</v>
      </c>
      <c r="AW3" s="113">
        <v>2018</v>
      </c>
      <c r="AX3" s="113">
        <v>2019</v>
      </c>
      <c r="AY3" s="113">
        <v>2020</v>
      </c>
      <c r="AZ3" s="113">
        <v>2021</v>
      </c>
      <c r="BA3" s="113">
        <v>2022</v>
      </c>
      <c r="BB3" s="113">
        <v>2023</v>
      </c>
      <c r="BC3" s="113">
        <v>2024</v>
      </c>
      <c r="BD3" s="113">
        <v>2025</v>
      </c>
      <c r="BE3" s="113" t="s">
        <v>290</v>
      </c>
      <c r="BF3" s="113" t="s">
        <v>291</v>
      </c>
      <c r="BG3" s="573"/>
      <c r="BH3" s="571"/>
      <c r="BI3" s="571"/>
      <c r="BJ3" s="582"/>
      <c r="BK3" s="114">
        <v>2017</v>
      </c>
      <c r="BL3" s="115">
        <v>2018</v>
      </c>
      <c r="BM3" s="115">
        <v>2019</v>
      </c>
      <c r="BN3" s="115">
        <v>2020</v>
      </c>
      <c r="BO3" s="115">
        <v>2021</v>
      </c>
      <c r="BP3" s="115">
        <v>2022</v>
      </c>
      <c r="BQ3" s="115">
        <v>2023</v>
      </c>
      <c r="BR3" s="115">
        <v>2024</v>
      </c>
      <c r="BS3" s="115">
        <v>2025</v>
      </c>
      <c r="BT3" s="116" t="s">
        <v>292</v>
      </c>
      <c r="BU3" s="117" t="s">
        <v>293</v>
      </c>
      <c r="BV3" s="115" t="s">
        <v>294</v>
      </c>
      <c r="BW3" s="115" t="s">
        <v>295</v>
      </c>
      <c r="BX3" s="118" t="s">
        <v>296</v>
      </c>
      <c r="BY3" s="114">
        <v>2017</v>
      </c>
      <c r="BZ3" s="115">
        <v>2018</v>
      </c>
      <c r="CA3" s="115">
        <v>2019</v>
      </c>
      <c r="CB3" s="115">
        <v>2020</v>
      </c>
      <c r="CC3" s="115">
        <v>2021</v>
      </c>
      <c r="CD3" s="115">
        <v>2022</v>
      </c>
      <c r="CE3" s="115">
        <v>2023</v>
      </c>
      <c r="CF3" s="115">
        <v>2024</v>
      </c>
      <c r="CG3" s="116">
        <v>2025</v>
      </c>
      <c r="CH3" s="119">
        <v>2017</v>
      </c>
      <c r="CI3" s="120">
        <v>2018</v>
      </c>
      <c r="CJ3" s="120">
        <v>2019</v>
      </c>
      <c r="CK3" s="120">
        <v>2020</v>
      </c>
      <c r="CL3" s="120">
        <v>2021</v>
      </c>
      <c r="CM3" s="120">
        <v>2022</v>
      </c>
      <c r="CN3" s="120">
        <v>2023</v>
      </c>
      <c r="CO3" s="120">
        <v>2024</v>
      </c>
      <c r="CP3" s="120">
        <v>2025</v>
      </c>
      <c r="CQ3" s="121" t="s">
        <v>297</v>
      </c>
      <c r="CR3" s="114" t="s">
        <v>298</v>
      </c>
      <c r="CS3" s="115" t="s">
        <v>299</v>
      </c>
      <c r="CT3" s="115" t="s">
        <v>300</v>
      </c>
      <c r="CU3" s="115" t="s">
        <v>301</v>
      </c>
      <c r="CV3" s="115" t="s">
        <v>302</v>
      </c>
      <c r="CW3" s="115" t="s">
        <v>303</v>
      </c>
      <c r="CX3" s="115" t="s">
        <v>304</v>
      </c>
      <c r="CY3" s="115" t="s">
        <v>305</v>
      </c>
      <c r="CZ3" s="122" t="s">
        <v>306</v>
      </c>
      <c r="DA3" s="575"/>
    </row>
    <row r="4" spans="1:105" s="103" customFormat="1" ht="26.1" customHeight="1" x14ac:dyDescent="0.25">
      <c r="A4" s="123" t="s">
        <v>7</v>
      </c>
      <c r="B4" s="124" t="s">
        <v>668</v>
      </c>
      <c r="C4" s="123" t="s">
        <v>7</v>
      </c>
      <c r="D4" s="124"/>
      <c r="E4" s="125"/>
      <c r="F4" s="126"/>
      <c r="G4" s="127"/>
      <c r="H4" s="58"/>
      <c r="I4" s="57"/>
      <c r="J4" s="57"/>
      <c r="K4" s="128"/>
      <c r="L4" s="129"/>
      <c r="M4" s="130"/>
      <c r="O4" s="123" t="s">
        <v>7</v>
      </c>
      <c r="P4" s="131"/>
      <c r="Q4" s="126"/>
      <c r="R4" s="126"/>
      <c r="S4" s="126"/>
      <c r="T4" s="126"/>
      <c r="U4" s="126"/>
      <c r="V4" s="126"/>
      <c r="W4" s="126"/>
      <c r="X4" s="126"/>
      <c r="Y4" s="126"/>
      <c r="Z4" s="126"/>
      <c r="AA4" s="126"/>
      <c r="AB4" s="126"/>
      <c r="AC4" s="126"/>
      <c r="AD4" s="126"/>
      <c r="AE4" s="126"/>
      <c r="AF4" s="132"/>
      <c r="AG4" s="131"/>
      <c r="AH4" s="126"/>
      <c r="AI4" s="126"/>
      <c r="AJ4" s="133"/>
      <c r="AK4" s="133"/>
      <c r="AL4" s="133"/>
      <c r="AM4" s="133"/>
      <c r="AN4" s="133"/>
      <c r="AO4" s="133"/>
      <c r="AP4" s="133"/>
      <c r="AQ4" s="133"/>
      <c r="AR4" s="133"/>
      <c r="AS4" s="133"/>
      <c r="AT4" s="133"/>
      <c r="AU4" s="133"/>
      <c r="AV4" s="133"/>
      <c r="AW4" s="133"/>
      <c r="AX4" s="133"/>
      <c r="AY4" s="133"/>
      <c r="AZ4" s="133"/>
      <c r="BA4" s="133"/>
      <c r="BB4" s="133"/>
      <c r="BC4" s="133"/>
      <c r="BD4" s="133"/>
      <c r="BE4" s="126"/>
      <c r="BF4" s="132"/>
      <c r="BG4" s="131"/>
      <c r="BH4" s="126"/>
      <c r="BI4" s="134"/>
      <c r="BJ4" s="135">
        <f>+BJ5+BJ11+BJ13+BJ16+BJ19+BJ21+BJ23</f>
        <v>0</v>
      </c>
      <c r="BK4" s="136">
        <f>+BK5+BK11+BK13+BK16+BK19+BK21+BK23</f>
        <v>1299434262</v>
      </c>
      <c r="BL4" s="133">
        <f>+BL5+BL11+BL13+BL16+BL19+BL21+BL23</f>
        <v>3420373582.8600001</v>
      </c>
      <c r="BM4" s="133">
        <f t="shared" ref="BM4:BS4" si="0">+BM5+BM11+BM13+BM16+BM19+BM21+BM23</f>
        <v>3480126635.9958</v>
      </c>
      <c r="BN4" s="133">
        <f t="shared" si="0"/>
        <v>3542625463.0081744</v>
      </c>
      <c r="BO4" s="133">
        <f t="shared" si="0"/>
        <v>3608000096.2275438</v>
      </c>
      <c r="BP4" s="133">
        <f t="shared" si="0"/>
        <v>3676386851.9099522</v>
      </c>
      <c r="BQ4" s="133">
        <f t="shared" si="0"/>
        <v>3747928637.9026103</v>
      </c>
      <c r="BR4" s="133">
        <f t="shared" si="0"/>
        <v>3822775276.4968171</v>
      </c>
      <c r="BS4" s="133">
        <f t="shared" si="0"/>
        <v>3901083843.2217069</v>
      </c>
      <c r="BT4" s="137">
        <f>SUM(BK4:BS4)</f>
        <v>30498734649.622608</v>
      </c>
      <c r="BU4" s="138"/>
      <c r="BV4" s="126"/>
      <c r="BW4" s="126"/>
      <c r="BX4" s="139"/>
      <c r="BY4" s="136">
        <f t="shared" ref="BY4:CP4" si="1">+BY5+BY11+BY13+BY16+BY19+BY21+BY23</f>
        <v>2200774812</v>
      </c>
      <c r="BZ4" s="133">
        <f t="shared" si="1"/>
        <v>4988780160.3600006</v>
      </c>
      <c r="CA4" s="133">
        <f t="shared" si="1"/>
        <v>4975700612.3708</v>
      </c>
      <c r="CB4" s="133">
        <f t="shared" si="1"/>
        <v>5117823155.3019238</v>
      </c>
      <c r="CC4" s="133">
        <f t="shared" si="1"/>
        <v>5250884700.7489815</v>
      </c>
      <c r="CD4" s="133">
        <f t="shared" si="1"/>
        <v>5401481185.0988512</v>
      </c>
      <c r="CE4" s="133">
        <f t="shared" si="1"/>
        <v>5556618011.145587</v>
      </c>
      <c r="CF4" s="133">
        <f t="shared" si="1"/>
        <v>5716510511.4984131</v>
      </c>
      <c r="CG4" s="137">
        <f t="shared" si="1"/>
        <v>5842384434.8627472</v>
      </c>
      <c r="CH4" s="136">
        <f t="shared" si="1"/>
        <v>901340550</v>
      </c>
      <c r="CI4" s="133">
        <f t="shared" si="1"/>
        <v>1568406577.5</v>
      </c>
      <c r="CJ4" s="133">
        <f t="shared" si="1"/>
        <v>1495573976.375</v>
      </c>
      <c r="CK4" s="133">
        <f t="shared" si="1"/>
        <v>1575197692.2937498</v>
      </c>
      <c r="CL4" s="133">
        <f t="shared" si="1"/>
        <v>1642884604.5214374</v>
      </c>
      <c r="CM4" s="133">
        <f t="shared" si="1"/>
        <v>1725094333.1888995</v>
      </c>
      <c r="CN4" s="133">
        <f t="shared" si="1"/>
        <v>1808689373.2429764</v>
      </c>
      <c r="CO4" s="133">
        <f t="shared" si="1"/>
        <v>1893735235.0015957</v>
      </c>
      <c r="CP4" s="133">
        <f t="shared" si="1"/>
        <v>1941300591.6410406</v>
      </c>
      <c r="CQ4" s="137">
        <f>SUM(CH4:CP4)</f>
        <v>14552222933.764702</v>
      </c>
      <c r="CR4" s="138"/>
      <c r="CS4" s="140">
        <f>+CS5+CS11+CS13+CS16+CS19+CS21+CS23</f>
        <v>1259000</v>
      </c>
      <c r="CT4" s="126"/>
      <c r="CU4" s="126"/>
      <c r="CV4" s="126"/>
      <c r="CW4" s="126"/>
      <c r="CX4" s="126"/>
      <c r="CY4" s="141">
        <f>+CY5+CY11+CY13+CY16+CY19+CY21+CY23</f>
        <v>13780572933.7647</v>
      </c>
      <c r="CZ4" s="132"/>
      <c r="DA4" s="142"/>
    </row>
    <row r="5" spans="1:105" s="103" customFormat="1" ht="26.1" customHeight="1" x14ac:dyDescent="0.25">
      <c r="A5" s="143" t="s">
        <v>509</v>
      </c>
      <c r="B5" s="144" t="s">
        <v>664</v>
      </c>
      <c r="C5" s="143" t="s">
        <v>657</v>
      </c>
      <c r="D5" s="144" t="s">
        <v>355</v>
      </c>
      <c r="E5" s="59" t="s">
        <v>488</v>
      </c>
      <c r="F5" s="145"/>
      <c r="G5" s="146"/>
      <c r="H5" s="146"/>
      <c r="I5" s="62"/>
      <c r="J5" s="62"/>
      <c r="K5" s="147" t="s">
        <v>253</v>
      </c>
      <c r="L5" s="361" t="s">
        <v>254</v>
      </c>
      <c r="M5" s="149" t="s">
        <v>255</v>
      </c>
      <c r="O5" s="143" t="s">
        <v>509</v>
      </c>
      <c r="P5" s="150"/>
      <c r="Q5" s="145"/>
      <c r="R5" s="145"/>
      <c r="S5" s="145"/>
      <c r="T5" s="145"/>
      <c r="U5" s="145"/>
      <c r="V5" s="145"/>
      <c r="W5" s="145"/>
      <c r="X5" s="145"/>
      <c r="Y5" s="145"/>
      <c r="Z5" s="145"/>
      <c r="AA5" s="145"/>
      <c r="AB5" s="145"/>
      <c r="AC5" s="145"/>
      <c r="AD5" s="145"/>
      <c r="AE5" s="145"/>
      <c r="AF5" s="151"/>
      <c r="AG5" s="150"/>
      <c r="AH5" s="145"/>
      <c r="AI5" s="145"/>
      <c r="AJ5" s="152"/>
      <c r="AK5" s="152"/>
      <c r="AL5" s="152"/>
      <c r="AM5" s="152"/>
      <c r="AN5" s="152"/>
      <c r="AO5" s="152"/>
      <c r="AP5" s="152"/>
      <c r="AQ5" s="152"/>
      <c r="AR5" s="152"/>
      <c r="AS5" s="152"/>
      <c r="AT5" s="152"/>
      <c r="AU5" s="152"/>
      <c r="AV5" s="152"/>
      <c r="AW5" s="152"/>
      <c r="AX5" s="152"/>
      <c r="AY5" s="152"/>
      <c r="AZ5" s="152"/>
      <c r="BA5" s="152"/>
      <c r="BB5" s="152"/>
      <c r="BC5" s="152"/>
      <c r="BD5" s="152"/>
      <c r="BE5" s="145"/>
      <c r="BF5" s="151"/>
      <c r="BG5" s="153"/>
      <c r="BH5" s="154" t="s">
        <v>355</v>
      </c>
      <c r="BI5" s="155"/>
      <c r="BJ5" s="156">
        <f>SUM(BJ6:BJ8)</f>
        <v>0</v>
      </c>
      <c r="BK5" s="157">
        <f>SUM(BK6:BK9)</f>
        <v>391389612</v>
      </c>
      <c r="BL5" s="152">
        <f>SUM(BL6:BL9)</f>
        <v>2465931300.3600001</v>
      </c>
      <c r="BM5" s="152">
        <f t="shared" ref="BM5:BS5" si="2">SUM(BM6:BM9)</f>
        <v>2478025239.3708</v>
      </c>
      <c r="BN5" s="152">
        <f t="shared" si="2"/>
        <v>2490481996.5519242</v>
      </c>
      <c r="BO5" s="152">
        <f t="shared" si="2"/>
        <v>2503312456.4484816</v>
      </c>
      <c r="BP5" s="152">
        <f t="shared" si="2"/>
        <v>2516527830.1419363</v>
      </c>
      <c r="BQ5" s="152">
        <f t="shared" si="2"/>
        <v>2530139665.0461941</v>
      </c>
      <c r="BR5" s="152">
        <f t="shared" si="2"/>
        <v>2544159854.9975801</v>
      </c>
      <c r="BS5" s="152">
        <f t="shared" si="2"/>
        <v>2558600650.6475077</v>
      </c>
      <c r="BT5" s="156">
        <f>SUM(BK5:BS5)</f>
        <v>20478568605.564423</v>
      </c>
      <c r="BU5" s="158"/>
      <c r="BV5" s="145"/>
      <c r="BW5" s="145"/>
      <c r="BX5" s="159"/>
      <c r="BY5" s="157">
        <f>SUM(BY6:BY9)</f>
        <v>485439612</v>
      </c>
      <c r="BZ5" s="152">
        <f>SUM(BZ6:BZ9)</f>
        <v>3347052800.3600001</v>
      </c>
      <c r="CA5" s="152">
        <f t="shared" ref="CA5:CF5" si="3">SUM(CA6:CA9)</f>
        <v>3364874384.3708</v>
      </c>
      <c r="CB5" s="152">
        <f t="shared" si="3"/>
        <v>3383230615.9019241</v>
      </c>
      <c r="CC5" s="152">
        <f t="shared" si="3"/>
        <v>3402137534.3789816</v>
      </c>
      <c r="CD5" s="152">
        <f t="shared" si="3"/>
        <v>3421611660.4103513</v>
      </c>
      <c r="CE5" s="152">
        <f t="shared" si="3"/>
        <v>3441670010.222662</v>
      </c>
      <c r="CF5" s="152">
        <f t="shared" si="3"/>
        <v>3462330110.5293417</v>
      </c>
      <c r="CG5" s="156">
        <f>SUM(CG6:CG9)</f>
        <v>3483610013.845222</v>
      </c>
      <c r="CH5" s="157">
        <f>SUM(CH6:CH9)</f>
        <v>94050000</v>
      </c>
      <c r="CI5" s="152">
        <f>SUM(CI6:CI9)</f>
        <v>881121500</v>
      </c>
      <c r="CJ5" s="152">
        <f t="shared" ref="CJ5:CP5" si="4">SUM(CJ6:CJ9)</f>
        <v>886849145</v>
      </c>
      <c r="CK5" s="152">
        <f t="shared" si="4"/>
        <v>892748619.3499999</v>
      </c>
      <c r="CL5" s="152">
        <f t="shared" si="4"/>
        <v>898825077.93049991</v>
      </c>
      <c r="CM5" s="152">
        <f t="shared" si="4"/>
        <v>905083830.26841497</v>
      </c>
      <c r="CN5" s="152">
        <f t="shared" si="4"/>
        <v>911530345.17646742</v>
      </c>
      <c r="CO5" s="152">
        <f t="shared" si="4"/>
        <v>918170255.53176141</v>
      </c>
      <c r="CP5" s="152">
        <f t="shared" si="4"/>
        <v>925009363.19771433</v>
      </c>
      <c r="CQ5" s="156">
        <f>SUM(CH5:CP5)</f>
        <v>7313388136.4548569</v>
      </c>
      <c r="CR5" s="158"/>
      <c r="CS5" s="160">
        <f>SUM(CS6:CS8)</f>
        <v>0</v>
      </c>
      <c r="CT5" s="145"/>
      <c r="CU5" s="145"/>
      <c r="CV5" s="145"/>
      <c r="CW5" s="145"/>
      <c r="CX5" s="145"/>
      <c r="CY5" s="161">
        <f>SUM(CY6:CY9)</f>
        <v>7125288136.4548578</v>
      </c>
      <c r="CZ5" s="151"/>
      <c r="DA5" s="162"/>
    </row>
    <row r="6" spans="1:105" s="103" customFormat="1" ht="26.1" customHeight="1" x14ac:dyDescent="0.25">
      <c r="A6" s="163" t="s">
        <v>8</v>
      </c>
      <c r="B6" s="164" t="s">
        <v>665</v>
      </c>
      <c r="C6" s="163" t="s">
        <v>757</v>
      </c>
      <c r="D6" s="164" t="s">
        <v>355</v>
      </c>
      <c r="E6" s="74" t="s">
        <v>9</v>
      </c>
      <c r="F6" s="75" t="s">
        <v>402</v>
      </c>
      <c r="G6" s="75" t="s">
        <v>373</v>
      </c>
      <c r="H6" s="75" t="s">
        <v>101</v>
      </c>
      <c r="I6" s="79"/>
      <c r="J6" s="79" t="s">
        <v>230</v>
      </c>
      <c r="K6" s="165"/>
      <c r="L6" s="166"/>
      <c r="M6" s="167"/>
      <c r="O6" s="163" t="s">
        <v>374</v>
      </c>
      <c r="P6" s="74" t="s">
        <v>9</v>
      </c>
      <c r="Q6" s="75" t="s">
        <v>402</v>
      </c>
      <c r="R6" s="75" t="s">
        <v>314</v>
      </c>
      <c r="S6" s="75" t="s">
        <v>314</v>
      </c>
      <c r="T6" s="75" t="s">
        <v>314</v>
      </c>
      <c r="U6" s="75"/>
      <c r="V6" s="75" t="s">
        <v>314</v>
      </c>
      <c r="W6" s="75"/>
      <c r="X6" s="75" t="s">
        <v>314</v>
      </c>
      <c r="Y6" s="75"/>
      <c r="Z6" s="75"/>
      <c r="AA6" s="75"/>
      <c r="AB6" s="75"/>
      <c r="AC6" s="75" t="s">
        <v>307</v>
      </c>
      <c r="AD6" s="75"/>
      <c r="AE6" s="75"/>
      <c r="AF6" s="168"/>
      <c r="AG6" s="74" t="s">
        <v>315</v>
      </c>
      <c r="AH6" s="169" t="s">
        <v>339</v>
      </c>
      <c r="AI6" s="68" t="s">
        <v>505</v>
      </c>
      <c r="AJ6" s="170">
        <v>0</v>
      </c>
      <c r="AK6" s="170">
        <f>(0*0.658)/471000</f>
        <v>0</v>
      </c>
      <c r="AL6" s="170">
        <f>(2062500000/0.06*0.658)/(471000)</f>
        <v>48022.823779193204</v>
      </c>
      <c r="AM6" s="170">
        <f>+AL6</f>
        <v>48022.823779193204</v>
      </c>
      <c r="AN6" s="170">
        <f t="shared" ref="AN6:AS6" si="5">+AM6</f>
        <v>48022.823779193204</v>
      </c>
      <c r="AO6" s="170">
        <f t="shared" si="5"/>
        <v>48022.823779193204</v>
      </c>
      <c r="AP6" s="170">
        <f t="shared" si="5"/>
        <v>48022.823779193204</v>
      </c>
      <c r="AQ6" s="170">
        <f t="shared" si="5"/>
        <v>48022.823779193204</v>
      </c>
      <c r="AR6" s="170">
        <f t="shared" si="5"/>
        <v>48022.823779193204</v>
      </c>
      <c r="AS6" s="170">
        <f t="shared" si="5"/>
        <v>48022.823779193204</v>
      </c>
      <c r="AT6" s="170"/>
      <c r="AU6" s="170"/>
      <c r="AV6" s="170">
        <v>0</v>
      </c>
      <c r="AW6" s="170">
        <f>+(2750000000/0.06*0.658)/(471000)</f>
        <v>64030.431705590949</v>
      </c>
      <c r="AX6" s="170">
        <f>+AW6</f>
        <v>64030.431705590949</v>
      </c>
      <c r="AY6" s="170">
        <f t="shared" ref="AY6:BD6" si="6">+AX6</f>
        <v>64030.431705590949</v>
      </c>
      <c r="AZ6" s="170">
        <f t="shared" si="6"/>
        <v>64030.431705590949</v>
      </c>
      <c r="BA6" s="170">
        <f t="shared" si="6"/>
        <v>64030.431705590949</v>
      </c>
      <c r="BB6" s="170">
        <f t="shared" si="6"/>
        <v>64030.431705590949</v>
      </c>
      <c r="BC6" s="170">
        <f t="shared" si="6"/>
        <v>64030.431705590949</v>
      </c>
      <c r="BD6" s="170">
        <f t="shared" si="6"/>
        <v>64030.431705590949</v>
      </c>
      <c r="BE6" s="48"/>
      <c r="BF6" s="94"/>
      <c r="BG6" s="165"/>
      <c r="BH6" s="171" t="s">
        <v>312</v>
      </c>
      <c r="BI6" s="75" t="s">
        <v>313</v>
      </c>
      <c r="BJ6" s="172"/>
      <c r="BK6" s="173"/>
      <c r="BL6" s="174">
        <v>2062500000</v>
      </c>
      <c r="BM6" s="174">
        <v>2062500000</v>
      </c>
      <c r="BN6" s="174">
        <v>2062500000</v>
      </c>
      <c r="BO6" s="174">
        <v>2062500000</v>
      </c>
      <c r="BP6" s="174">
        <v>2062500000</v>
      </c>
      <c r="BQ6" s="174">
        <v>2062500000</v>
      </c>
      <c r="BR6" s="174">
        <v>2062500000</v>
      </c>
      <c r="BS6" s="174">
        <v>2062500000</v>
      </c>
      <c r="BT6" s="175">
        <f>SUM(BK6:BS6)</f>
        <v>16500000000</v>
      </c>
      <c r="BU6" s="176"/>
      <c r="BV6" s="75"/>
      <c r="BW6" s="177">
        <v>1</v>
      </c>
      <c r="BX6" s="178" t="s">
        <v>383</v>
      </c>
      <c r="BY6" s="173"/>
      <c r="BZ6" s="174">
        <v>2750000000</v>
      </c>
      <c r="CA6" s="174">
        <v>2750000000</v>
      </c>
      <c r="CB6" s="174">
        <v>2750000000</v>
      </c>
      <c r="CC6" s="174">
        <v>2750000000</v>
      </c>
      <c r="CD6" s="174">
        <v>2750000000</v>
      </c>
      <c r="CE6" s="174">
        <v>2750000000</v>
      </c>
      <c r="CF6" s="174">
        <v>2750000000</v>
      </c>
      <c r="CG6" s="175">
        <v>2750000000</v>
      </c>
      <c r="CH6" s="173">
        <f>+BY6-BK6</f>
        <v>0</v>
      </c>
      <c r="CI6" s="174">
        <f>+BZ6-BL6</f>
        <v>687500000</v>
      </c>
      <c r="CJ6" s="174">
        <f t="shared" ref="CJ6:CP6" si="7">+CA6-BM6</f>
        <v>687500000</v>
      </c>
      <c r="CK6" s="174">
        <f t="shared" si="7"/>
        <v>687500000</v>
      </c>
      <c r="CL6" s="174">
        <f t="shared" si="7"/>
        <v>687500000</v>
      </c>
      <c r="CM6" s="174">
        <f t="shared" si="7"/>
        <v>687500000</v>
      </c>
      <c r="CN6" s="174">
        <f t="shared" si="7"/>
        <v>687500000</v>
      </c>
      <c r="CO6" s="174">
        <f t="shared" si="7"/>
        <v>687500000</v>
      </c>
      <c r="CP6" s="174">
        <f t="shared" si="7"/>
        <v>687500000</v>
      </c>
      <c r="CQ6" s="175">
        <f>SUM(CH6:CP6)</f>
        <v>5500000000</v>
      </c>
      <c r="CR6" s="179"/>
      <c r="CS6" s="180"/>
      <c r="CT6" s="180"/>
      <c r="CU6" s="169"/>
      <c r="CV6" s="169"/>
      <c r="CW6" s="169"/>
      <c r="CX6" s="169"/>
      <c r="CY6" s="181">
        <f>+CQ6-CS6*550</f>
        <v>5500000000</v>
      </c>
      <c r="CZ6" s="182" t="s">
        <v>375</v>
      </c>
      <c r="DA6" s="183" t="s">
        <v>376</v>
      </c>
    </row>
    <row r="7" spans="1:105" s="103" customFormat="1" ht="26.1" customHeight="1" x14ac:dyDescent="0.25">
      <c r="A7" s="184"/>
      <c r="B7" s="185"/>
      <c r="C7" s="184"/>
      <c r="D7" s="185"/>
      <c r="E7" s="80"/>
      <c r="F7" s="81"/>
      <c r="G7" s="81"/>
      <c r="H7" s="81"/>
      <c r="I7" s="82"/>
      <c r="J7" s="82"/>
      <c r="K7" s="186"/>
      <c r="L7" s="187"/>
      <c r="M7" s="188"/>
      <c r="O7" s="184"/>
      <c r="P7" s="80"/>
      <c r="Q7" s="81"/>
      <c r="R7" s="81"/>
      <c r="S7" s="81"/>
      <c r="T7" s="81"/>
      <c r="U7" s="81"/>
      <c r="V7" s="81"/>
      <c r="W7" s="81"/>
      <c r="X7" s="81"/>
      <c r="Y7" s="81"/>
      <c r="Z7" s="81"/>
      <c r="AA7" s="81"/>
      <c r="AB7" s="81"/>
      <c r="AC7" s="81"/>
      <c r="AD7" s="81"/>
      <c r="AE7" s="81"/>
      <c r="AF7" s="189"/>
      <c r="AG7" s="80"/>
      <c r="AH7" s="190"/>
      <c r="AI7" s="68" t="s">
        <v>506</v>
      </c>
      <c r="AJ7" s="170"/>
      <c r="AK7" s="170">
        <f>(0*0.342)/247118</f>
        <v>0</v>
      </c>
      <c r="AL7" s="170">
        <f>(2062500000/0.06*0.342)/(247118)</f>
        <v>47573.426460233575</v>
      </c>
      <c r="AM7" s="170">
        <f>+AL7</f>
        <v>47573.426460233575</v>
      </c>
      <c r="AN7" s="170">
        <f t="shared" ref="AN7:AS7" si="8">+AM7</f>
        <v>47573.426460233575</v>
      </c>
      <c r="AO7" s="170">
        <f t="shared" si="8"/>
        <v>47573.426460233575</v>
      </c>
      <c r="AP7" s="170">
        <f t="shared" si="8"/>
        <v>47573.426460233575</v>
      </c>
      <c r="AQ7" s="170">
        <f t="shared" si="8"/>
        <v>47573.426460233575</v>
      </c>
      <c r="AR7" s="170">
        <f t="shared" si="8"/>
        <v>47573.426460233575</v>
      </c>
      <c r="AS7" s="170">
        <f t="shared" si="8"/>
        <v>47573.426460233575</v>
      </c>
      <c r="AT7" s="170"/>
      <c r="AU7" s="170"/>
      <c r="AV7" s="170">
        <f>(0*0.342)/247118</f>
        <v>0</v>
      </c>
      <c r="AW7" s="170">
        <f>(2750000000/0.06*0.342)/(247118)</f>
        <v>63431.235280311441</v>
      </c>
      <c r="AX7" s="170">
        <f>+AW7</f>
        <v>63431.235280311441</v>
      </c>
      <c r="AY7" s="170">
        <f t="shared" ref="AY7:BD7" si="9">+AX7</f>
        <v>63431.235280311441</v>
      </c>
      <c r="AZ7" s="170">
        <f t="shared" si="9"/>
        <v>63431.235280311441</v>
      </c>
      <c r="BA7" s="170">
        <f t="shared" si="9"/>
        <v>63431.235280311441</v>
      </c>
      <c r="BB7" s="170">
        <f t="shared" si="9"/>
        <v>63431.235280311441</v>
      </c>
      <c r="BC7" s="170">
        <f t="shared" si="9"/>
        <v>63431.235280311441</v>
      </c>
      <c r="BD7" s="170">
        <f t="shared" si="9"/>
        <v>63431.235280311441</v>
      </c>
      <c r="BE7" s="48"/>
      <c r="BF7" s="94"/>
      <c r="BG7" s="186"/>
      <c r="BH7" s="191"/>
      <c r="BI7" s="81"/>
      <c r="BJ7" s="192"/>
      <c r="BK7" s="193"/>
      <c r="BL7" s="194"/>
      <c r="BM7" s="194"/>
      <c r="BN7" s="194"/>
      <c r="BO7" s="194"/>
      <c r="BP7" s="194"/>
      <c r="BQ7" s="194"/>
      <c r="BR7" s="194"/>
      <c r="BS7" s="194"/>
      <c r="BT7" s="195"/>
      <c r="BU7" s="196"/>
      <c r="BV7" s="81"/>
      <c r="BW7" s="197"/>
      <c r="BX7" s="198"/>
      <c r="BY7" s="193"/>
      <c r="BZ7" s="194"/>
      <c r="CA7" s="194"/>
      <c r="CB7" s="194"/>
      <c r="CC7" s="194"/>
      <c r="CD7" s="194"/>
      <c r="CE7" s="194"/>
      <c r="CF7" s="194"/>
      <c r="CG7" s="195"/>
      <c r="CH7" s="193"/>
      <c r="CI7" s="194"/>
      <c r="CJ7" s="194"/>
      <c r="CK7" s="194"/>
      <c r="CL7" s="194"/>
      <c r="CM7" s="194"/>
      <c r="CN7" s="194"/>
      <c r="CO7" s="194"/>
      <c r="CP7" s="194"/>
      <c r="CQ7" s="195"/>
      <c r="CR7" s="199"/>
      <c r="CS7" s="200"/>
      <c r="CT7" s="200"/>
      <c r="CU7" s="190"/>
      <c r="CV7" s="190"/>
      <c r="CW7" s="190"/>
      <c r="CX7" s="190"/>
      <c r="CY7" s="201"/>
      <c r="CZ7" s="202"/>
      <c r="DA7" s="203"/>
    </row>
    <row r="8" spans="1:105" s="103" customFormat="1" ht="26.1" customHeight="1" x14ac:dyDescent="0.25">
      <c r="A8" s="204" t="s">
        <v>10</v>
      </c>
      <c r="B8" s="205" t="s">
        <v>666</v>
      </c>
      <c r="C8" s="204" t="s">
        <v>10</v>
      </c>
      <c r="D8" s="205" t="s">
        <v>356</v>
      </c>
      <c r="E8" s="47" t="s">
        <v>4</v>
      </c>
      <c r="F8" s="48" t="s">
        <v>462</v>
      </c>
      <c r="G8" s="48" t="s">
        <v>397</v>
      </c>
      <c r="H8" s="48" t="s">
        <v>102</v>
      </c>
      <c r="I8" s="49"/>
      <c r="J8" s="49" t="s">
        <v>230</v>
      </c>
      <c r="K8" s="206"/>
      <c r="L8" s="207"/>
      <c r="M8" s="208"/>
      <c r="O8" s="204" t="s">
        <v>10</v>
      </c>
      <c r="P8" s="47" t="s">
        <v>4</v>
      </c>
      <c r="Q8" s="48" t="s">
        <v>434</v>
      </c>
      <c r="R8" s="48"/>
      <c r="S8" s="48" t="s">
        <v>314</v>
      </c>
      <c r="T8" s="48" t="s">
        <v>314</v>
      </c>
      <c r="U8" s="48"/>
      <c r="V8" s="48" t="s">
        <v>314</v>
      </c>
      <c r="W8" s="48"/>
      <c r="X8" s="48" t="s">
        <v>307</v>
      </c>
      <c r="Y8" s="48"/>
      <c r="Z8" s="48"/>
      <c r="AA8" s="48"/>
      <c r="AB8" s="48"/>
      <c r="AC8" s="48" t="s">
        <v>314</v>
      </c>
      <c r="AD8" s="48"/>
      <c r="AE8" s="48"/>
      <c r="AF8" s="209"/>
      <c r="AG8" s="47" t="s">
        <v>315</v>
      </c>
      <c r="AH8" s="210" t="s">
        <v>339</v>
      </c>
      <c r="AI8" s="68" t="s">
        <v>435</v>
      </c>
      <c r="AJ8" s="170"/>
      <c r="AK8" s="170"/>
      <c r="AL8" s="170">
        <v>1</v>
      </c>
      <c r="AM8" s="170">
        <v>1</v>
      </c>
      <c r="AN8" s="170">
        <v>1</v>
      </c>
      <c r="AO8" s="170">
        <v>1</v>
      </c>
      <c r="AP8" s="170">
        <v>1</v>
      </c>
      <c r="AQ8" s="170">
        <v>1</v>
      </c>
      <c r="AR8" s="170">
        <v>1</v>
      </c>
      <c r="AS8" s="170">
        <v>1</v>
      </c>
      <c r="AT8" s="170"/>
      <c r="AU8" s="170"/>
      <c r="AV8" s="170"/>
      <c r="AW8" s="170">
        <v>10</v>
      </c>
      <c r="AX8" s="170">
        <v>10</v>
      </c>
      <c r="AY8" s="170">
        <v>10</v>
      </c>
      <c r="AZ8" s="170">
        <v>10</v>
      </c>
      <c r="BA8" s="170">
        <v>10</v>
      </c>
      <c r="BB8" s="170">
        <v>10</v>
      </c>
      <c r="BC8" s="170">
        <v>10</v>
      </c>
      <c r="BD8" s="170">
        <v>10</v>
      </c>
      <c r="BE8" s="48"/>
      <c r="BF8" s="48"/>
      <c r="BG8" s="206"/>
      <c r="BH8" s="68" t="s">
        <v>312</v>
      </c>
      <c r="BI8" s="48" t="s">
        <v>313</v>
      </c>
      <c r="BJ8" s="211"/>
      <c r="BK8" s="212">
        <f>AK8*300000</f>
        <v>0</v>
      </c>
      <c r="BL8" s="170">
        <f>AL8*300000</f>
        <v>300000</v>
      </c>
      <c r="BM8" s="170">
        <f t="shared" ref="BM8:BS8" si="10">AM8*300000</f>
        <v>300000</v>
      </c>
      <c r="BN8" s="170">
        <f t="shared" si="10"/>
        <v>300000</v>
      </c>
      <c r="BO8" s="170">
        <f t="shared" si="10"/>
        <v>300000</v>
      </c>
      <c r="BP8" s="170">
        <f t="shared" si="10"/>
        <v>300000</v>
      </c>
      <c r="BQ8" s="170">
        <f t="shared" si="10"/>
        <v>300000</v>
      </c>
      <c r="BR8" s="170">
        <f t="shared" si="10"/>
        <v>300000</v>
      </c>
      <c r="BS8" s="170">
        <f t="shared" si="10"/>
        <v>300000</v>
      </c>
      <c r="BT8" s="213">
        <f>SUM(BK8:BS8)</f>
        <v>2400000</v>
      </c>
      <c r="BU8" s="214"/>
      <c r="BV8" s="48"/>
      <c r="BW8" s="215">
        <v>1</v>
      </c>
      <c r="BX8" s="216" t="s">
        <v>436</v>
      </c>
      <c r="BY8" s="212">
        <f>300000*AV8</f>
        <v>0</v>
      </c>
      <c r="BZ8" s="170">
        <f>300000*AW8</f>
        <v>3000000</v>
      </c>
      <c r="CA8" s="170">
        <f t="shared" ref="CA8:CG8" si="11">300000*AX8</f>
        <v>3000000</v>
      </c>
      <c r="CB8" s="170">
        <f t="shared" si="11"/>
        <v>3000000</v>
      </c>
      <c r="CC8" s="170">
        <f t="shared" si="11"/>
        <v>3000000</v>
      </c>
      <c r="CD8" s="170">
        <f t="shared" si="11"/>
        <v>3000000</v>
      </c>
      <c r="CE8" s="170">
        <f t="shared" si="11"/>
        <v>3000000</v>
      </c>
      <c r="CF8" s="170">
        <f t="shared" si="11"/>
        <v>3000000</v>
      </c>
      <c r="CG8" s="213">
        <f t="shared" si="11"/>
        <v>3000000</v>
      </c>
      <c r="CH8" s="217">
        <f>+BY8-BK8</f>
        <v>0</v>
      </c>
      <c r="CI8" s="170">
        <f>+BZ8-BL8</f>
        <v>2700000</v>
      </c>
      <c r="CJ8" s="170">
        <f t="shared" ref="CJ8:CP8" si="12">+CA8-BM8</f>
        <v>2700000</v>
      </c>
      <c r="CK8" s="170">
        <f t="shared" si="12"/>
        <v>2700000</v>
      </c>
      <c r="CL8" s="170">
        <f t="shared" si="12"/>
        <v>2700000</v>
      </c>
      <c r="CM8" s="170">
        <f t="shared" si="12"/>
        <v>2700000</v>
      </c>
      <c r="CN8" s="170">
        <f t="shared" si="12"/>
        <v>2700000</v>
      </c>
      <c r="CO8" s="170">
        <f t="shared" si="12"/>
        <v>2700000</v>
      </c>
      <c r="CP8" s="170">
        <f t="shared" si="12"/>
        <v>2700000</v>
      </c>
      <c r="CQ8" s="218">
        <f>SUM(CH8:CP8)</f>
        <v>21600000</v>
      </c>
      <c r="CR8" s="219"/>
      <c r="CS8" s="220"/>
      <c r="CT8" s="220"/>
      <c r="CU8" s="210"/>
      <c r="CV8" s="210"/>
      <c r="CW8" s="210"/>
      <c r="CX8" s="210"/>
      <c r="CY8" s="221">
        <f>+CQ8-CS8*550</f>
        <v>21600000</v>
      </c>
      <c r="CZ8" s="222"/>
      <c r="DA8" s="223"/>
    </row>
    <row r="9" spans="1:105" s="103" customFormat="1" ht="26.1" customHeight="1" x14ac:dyDescent="0.25">
      <c r="A9" s="224" t="s">
        <v>37</v>
      </c>
      <c r="B9" s="225" t="s">
        <v>667</v>
      </c>
      <c r="C9" s="224" t="s">
        <v>37</v>
      </c>
      <c r="D9" s="225" t="s">
        <v>355</v>
      </c>
      <c r="E9" s="74" t="s">
        <v>3</v>
      </c>
      <c r="F9" s="75" t="s">
        <v>412</v>
      </c>
      <c r="G9" s="75" t="s">
        <v>396</v>
      </c>
      <c r="H9" s="75" t="s">
        <v>111</v>
      </c>
      <c r="I9" s="79" t="s">
        <v>245</v>
      </c>
      <c r="J9" s="79" t="s">
        <v>233</v>
      </c>
      <c r="K9" s="165"/>
      <c r="L9" s="166"/>
      <c r="M9" s="167"/>
      <c r="N9" s="102"/>
      <c r="O9" s="224" t="s">
        <v>37</v>
      </c>
      <c r="P9" s="74" t="s">
        <v>3</v>
      </c>
      <c r="Q9" s="75" t="s">
        <v>412</v>
      </c>
      <c r="R9" s="75" t="s">
        <v>314</v>
      </c>
      <c r="S9" s="75" t="s">
        <v>314</v>
      </c>
      <c r="T9" s="75" t="s">
        <v>314</v>
      </c>
      <c r="U9" s="75" t="s">
        <v>307</v>
      </c>
      <c r="V9" s="75"/>
      <c r="W9" s="75"/>
      <c r="X9" s="75" t="s">
        <v>314</v>
      </c>
      <c r="Y9" s="75"/>
      <c r="Z9" s="75"/>
      <c r="AA9" s="75"/>
      <c r="AB9" s="75"/>
      <c r="AC9" s="75"/>
      <c r="AD9" s="75"/>
      <c r="AE9" s="75"/>
      <c r="AF9" s="168"/>
      <c r="AG9" s="74" t="s">
        <v>315</v>
      </c>
      <c r="AH9" s="169" t="s">
        <v>319</v>
      </c>
      <c r="AI9" s="68" t="s">
        <v>336</v>
      </c>
      <c r="AJ9" s="170"/>
      <c r="AK9" s="170">
        <v>1000000000</v>
      </c>
      <c r="AL9" s="170">
        <v>1000000000</v>
      </c>
      <c r="AM9" s="170">
        <v>1758333333</v>
      </c>
      <c r="AN9" s="170">
        <v>2370833333</v>
      </c>
      <c r="AO9" s="170">
        <v>3041666667</v>
      </c>
      <c r="AP9" s="170">
        <v>3245833333</v>
      </c>
      <c r="AQ9" s="170">
        <v>3333333333</v>
      </c>
      <c r="AR9" s="170">
        <v>1816666667</v>
      </c>
      <c r="AS9" s="170">
        <v>1350000000</v>
      </c>
      <c r="AT9" s="170"/>
      <c r="AU9" s="170"/>
      <c r="AV9" s="170">
        <f>+AK9</f>
        <v>1000000000</v>
      </c>
      <c r="AW9" s="170">
        <f>+AM9+1000000000</f>
        <v>2758333333</v>
      </c>
      <c r="AX9" s="170">
        <f>+AN9+1000000</f>
        <v>2371833333</v>
      </c>
      <c r="AY9" s="170">
        <f>+AN9+1000000</f>
        <v>2371833333</v>
      </c>
      <c r="AZ9" s="170">
        <f>+AO9+1000000</f>
        <v>3042666667</v>
      </c>
      <c r="BA9" s="170">
        <f>+AP9+1000000</f>
        <v>3246833333</v>
      </c>
      <c r="BB9" s="170">
        <f>+AQ9+1000000</f>
        <v>3334333333</v>
      </c>
      <c r="BC9" s="170">
        <f>+AR9</f>
        <v>1816666667</v>
      </c>
      <c r="BD9" s="170">
        <f>+AS9</f>
        <v>1350000000</v>
      </c>
      <c r="BE9" s="48"/>
      <c r="BF9" s="94"/>
      <c r="BG9" s="165" t="s">
        <v>334</v>
      </c>
      <c r="BH9" s="171" t="s">
        <v>312</v>
      </c>
      <c r="BI9" s="75" t="s">
        <v>323</v>
      </c>
      <c r="BJ9" s="226">
        <v>268816672</v>
      </c>
      <c r="BK9" s="174">
        <v>391389612</v>
      </c>
      <c r="BL9" s="174">
        <f t="shared" ref="BL9:BS9" si="13">+BK9*1.03</f>
        <v>403131300.36000001</v>
      </c>
      <c r="BM9" s="174">
        <f t="shared" si="13"/>
        <v>415225239.37080002</v>
      </c>
      <c r="BN9" s="174">
        <f t="shared" si="13"/>
        <v>427681996.55192405</v>
      </c>
      <c r="BO9" s="174">
        <f t="shared" si="13"/>
        <v>440512456.4484818</v>
      </c>
      <c r="BP9" s="174">
        <f t="shared" si="13"/>
        <v>453727830.14193624</v>
      </c>
      <c r="BQ9" s="174">
        <f t="shared" si="13"/>
        <v>467339665.04619431</v>
      </c>
      <c r="BR9" s="174">
        <f t="shared" si="13"/>
        <v>481359854.99758017</v>
      </c>
      <c r="BS9" s="174">
        <f t="shared" si="13"/>
        <v>495800650.64750761</v>
      </c>
      <c r="BT9" s="175">
        <f>SUM(BK9:BS9)</f>
        <v>3976168605.564424</v>
      </c>
      <c r="BU9" s="227">
        <v>1</v>
      </c>
      <c r="BV9" s="75"/>
      <c r="BW9" s="228"/>
      <c r="BX9" s="178"/>
      <c r="BY9" s="229">
        <f>+BK9+(CS9*0.5*550)</f>
        <v>485439612</v>
      </c>
      <c r="BZ9" s="230">
        <f>+BY9*1.03+(CS9*0.5*550)</f>
        <v>594052800.36000001</v>
      </c>
      <c r="CA9" s="230">
        <f t="shared" ref="CA9:CG9" si="14">+BZ9*1.03</f>
        <v>611874384.37080002</v>
      </c>
      <c r="CB9" s="230">
        <f t="shared" si="14"/>
        <v>630230615.90192401</v>
      </c>
      <c r="CC9" s="230">
        <f t="shared" si="14"/>
        <v>649137534.37898171</v>
      </c>
      <c r="CD9" s="230">
        <f t="shared" si="14"/>
        <v>668611660.41035116</v>
      </c>
      <c r="CE9" s="230">
        <f t="shared" si="14"/>
        <v>688670010.22266173</v>
      </c>
      <c r="CF9" s="230">
        <f t="shared" si="14"/>
        <v>709330110.52934158</v>
      </c>
      <c r="CG9" s="231">
        <f t="shared" si="14"/>
        <v>730610013.84522188</v>
      </c>
      <c r="CH9" s="173">
        <f>+BY9-BK9</f>
        <v>94050000</v>
      </c>
      <c r="CI9" s="174">
        <f>+BZ9-BL9</f>
        <v>190921500</v>
      </c>
      <c r="CJ9" s="174">
        <f t="shared" ref="CJ9:CP9" si="15">+CA9-BM9</f>
        <v>196649145</v>
      </c>
      <c r="CK9" s="174">
        <f t="shared" si="15"/>
        <v>202548619.34999996</v>
      </c>
      <c r="CL9" s="174">
        <f t="shared" si="15"/>
        <v>208625077.93049991</v>
      </c>
      <c r="CM9" s="174">
        <f t="shared" si="15"/>
        <v>214883830.26841491</v>
      </c>
      <c r="CN9" s="174">
        <f t="shared" si="15"/>
        <v>221330345.17646742</v>
      </c>
      <c r="CO9" s="174">
        <f t="shared" si="15"/>
        <v>227970255.53176141</v>
      </c>
      <c r="CP9" s="174">
        <f t="shared" si="15"/>
        <v>234809363.19771427</v>
      </c>
      <c r="CQ9" s="175">
        <f>SUM(CH9:CP9)</f>
        <v>1791788136.4548578</v>
      </c>
      <c r="CR9" s="179"/>
      <c r="CS9" s="180">
        <v>342000</v>
      </c>
      <c r="CT9" s="180" t="s">
        <v>337</v>
      </c>
      <c r="CU9" s="169"/>
      <c r="CV9" s="169"/>
      <c r="CW9" s="169"/>
      <c r="CX9" s="169"/>
      <c r="CY9" s="181">
        <f>+CQ9-CS9*550</f>
        <v>1603688136.4548578</v>
      </c>
      <c r="CZ9" s="182"/>
      <c r="DA9" s="232"/>
    </row>
    <row r="10" spans="1:105" s="103" customFormat="1" ht="26.1" customHeight="1" x14ac:dyDescent="0.25">
      <c r="A10" s="233"/>
      <c r="B10" s="234"/>
      <c r="C10" s="233"/>
      <c r="D10" s="234"/>
      <c r="E10" s="80"/>
      <c r="F10" s="81"/>
      <c r="G10" s="81"/>
      <c r="H10" s="81"/>
      <c r="I10" s="82"/>
      <c r="J10" s="82"/>
      <c r="K10" s="186"/>
      <c r="L10" s="187"/>
      <c r="M10" s="188"/>
      <c r="N10" s="102"/>
      <c r="O10" s="233"/>
      <c r="P10" s="80"/>
      <c r="Q10" s="81"/>
      <c r="R10" s="81"/>
      <c r="S10" s="81"/>
      <c r="T10" s="81"/>
      <c r="U10" s="81"/>
      <c r="V10" s="81"/>
      <c r="W10" s="81"/>
      <c r="X10" s="81"/>
      <c r="Y10" s="81"/>
      <c r="Z10" s="81"/>
      <c r="AA10" s="81"/>
      <c r="AB10" s="81"/>
      <c r="AC10" s="81"/>
      <c r="AD10" s="81"/>
      <c r="AE10" s="81"/>
      <c r="AF10" s="189"/>
      <c r="AG10" s="80"/>
      <c r="AH10" s="190"/>
      <c r="AI10" s="68" t="s">
        <v>338</v>
      </c>
      <c r="AJ10" s="170"/>
      <c r="AK10" s="170">
        <v>0</v>
      </c>
      <c r="AL10" s="170">
        <v>1</v>
      </c>
      <c r="AM10" s="170">
        <v>1</v>
      </c>
      <c r="AN10" s="170">
        <v>0</v>
      </c>
      <c r="AO10" s="170">
        <v>0</v>
      </c>
      <c r="AP10" s="170">
        <v>0</v>
      </c>
      <c r="AQ10" s="170">
        <v>0</v>
      </c>
      <c r="AR10" s="170">
        <v>0</v>
      </c>
      <c r="AS10" s="170">
        <v>0</v>
      </c>
      <c r="AT10" s="170"/>
      <c r="AU10" s="170"/>
      <c r="AV10" s="170">
        <v>0</v>
      </c>
      <c r="AW10" s="170">
        <v>1</v>
      </c>
      <c r="AX10" s="170">
        <v>1</v>
      </c>
      <c r="AY10" s="170">
        <v>1</v>
      </c>
      <c r="AZ10" s="170">
        <v>1</v>
      </c>
      <c r="BA10" s="170">
        <v>0</v>
      </c>
      <c r="BB10" s="170">
        <v>0</v>
      </c>
      <c r="BC10" s="170">
        <v>0</v>
      </c>
      <c r="BD10" s="170">
        <v>0</v>
      </c>
      <c r="BE10" s="48"/>
      <c r="BF10" s="94"/>
      <c r="BG10" s="186"/>
      <c r="BH10" s="235"/>
      <c r="BI10" s="81"/>
      <c r="BJ10" s="192"/>
      <c r="BK10" s="193"/>
      <c r="BL10" s="194"/>
      <c r="BM10" s="194"/>
      <c r="BN10" s="194"/>
      <c r="BO10" s="194"/>
      <c r="BP10" s="194"/>
      <c r="BQ10" s="194"/>
      <c r="BR10" s="194"/>
      <c r="BS10" s="194"/>
      <c r="BT10" s="195"/>
      <c r="BU10" s="196"/>
      <c r="BV10" s="81"/>
      <c r="BW10" s="81"/>
      <c r="BX10" s="198"/>
      <c r="BY10" s="193"/>
      <c r="BZ10" s="194"/>
      <c r="CA10" s="194"/>
      <c r="CB10" s="194"/>
      <c r="CC10" s="194"/>
      <c r="CD10" s="194"/>
      <c r="CE10" s="194"/>
      <c r="CF10" s="194"/>
      <c r="CG10" s="195"/>
      <c r="CH10" s="193"/>
      <c r="CI10" s="194"/>
      <c r="CJ10" s="194"/>
      <c r="CK10" s="194"/>
      <c r="CL10" s="194"/>
      <c r="CM10" s="194"/>
      <c r="CN10" s="194"/>
      <c r="CO10" s="194"/>
      <c r="CP10" s="194"/>
      <c r="CQ10" s="195">
        <f>SUM(CH10:CP10)</f>
        <v>0</v>
      </c>
      <c r="CR10" s="199"/>
      <c r="CS10" s="200"/>
      <c r="CT10" s="200"/>
      <c r="CU10" s="190"/>
      <c r="CV10" s="190"/>
      <c r="CW10" s="190"/>
      <c r="CX10" s="190"/>
      <c r="CY10" s="201">
        <f>+CQ10-CS10*550</f>
        <v>0</v>
      </c>
      <c r="CZ10" s="202"/>
      <c r="DA10" s="236"/>
    </row>
    <row r="11" spans="1:105" ht="26.1" customHeight="1" x14ac:dyDescent="0.25">
      <c r="A11" s="143" t="s">
        <v>12</v>
      </c>
      <c r="B11" s="144" t="s">
        <v>669</v>
      </c>
      <c r="C11" s="143" t="s">
        <v>12</v>
      </c>
      <c r="D11" s="144" t="s">
        <v>357</v>
      </c>
      <c r="E11" s="59" t="s">
        <v>287</v>
      </c>
      <c r="F11" s="145"/>
      <c r="G11" s="60"/>
      <c r="H11" s="61"/>
      <c r="I11" s="62"/>
      <c r="J11" s="62"/>
      <c r="K11" s="147" t="s">
        <v>253</v>
      </c>
      <c r="L11" s="148" t="s">
        <v>254</v>
      </c>
      <c r="M11" s="149" t="s">
        <v>255</v>
      </c>
      <c r="O11" s="143" t="s">
        <v>12</v>
      </c>
      <c r="P11" s="150"/>
      <c r="Q11" s="145"/>
      <c r="R11" s="145"/>
      <c r="S11" s="145"/>
      <c r="T11" s="145"/>
      <c r="U11" s="145"/>
      <c r="V11" s="145"/>
      <c r="W11" s="145"/>
      <c r="X11" s="145"/>
      <c r="Y11" s="145"/>
      <c r="Z11" s="145"/>
      <c r="AA11" s="145"/>
      <c r="AB11" s="145"/>
      <c r="AC11" s="145"/>
      <c r="AD11" s="145"/>
      <c r="AE11" s="145"/>
      <c r="AF11" s="151"/>
      <c r="AG11" s="150"/>
      <c r="AH11" s="145"/>
      <c r="AI11" s="145"/>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45"/>
      <c r="BF11" s="151"/>
      <c r="BG11" s="150"/>
      <c r="BH11" s="154" t="s">
        <v>355</v>
      </c>
      <c r="BI11" s="155"/>
      <c r="BJ11" s="156">
        <f t="shared" ref="BJ11:BS11" si="16">SUM(BJ12)</f>
        <v>0</v>
      </c>
      <c r="BK11" s="157">
        <f t="shared" si="16"/>
        <v>0</v>
      </c>
      <c r="BL11" s="152">
        <f t="shared" si="16"/>
        <v>0</v>
      </c>
      <c r="BM11" s="152">
        <f t="shared" si="16"/>
        <v>0</v>
      </c>
      <c r="BN11" s="152">
        <f t="shared" si="16"/>
        <v>0</v>
      </c>
      <c r="BO11" s="152">
        <f t="shared" si="16"/>
        <v>0</v>
      </c>
      <c r="BP11" s="152">
        <f t="shared" si="16"/>
        <v>0</v>
      </c>
      <c r="BQ11" s="152">
        <f t="shared" si="16"/>
        <v>0</v>
      </c>
      <c r="BR11" s="152">
        <f t="shared" si="16"/>
        <v>0</v>
      </c>
      <c r="BS11" s="152">
        <f t="shared" si="16"/>
        <v>0</v>
      </c>
      <c r="BT11" s="156">
        <f>SUM(BK11:BS11)</f>
        <v>0</v>
      </c>
      <c r="BU11" s="158"/>
      <c r="BV11" s="145"/>
      <c r="BW11" s="145"/>
      <c r="BX11" s="159"/>
      <c r="BY11" s="157">
        <f t="shared" ref="BY11:CP11" si="17">SUM(BY12)</f>
        <v>33000000</v>
      </c>
      <c r="BZ11" s="152">
        <f t="shared" si="17"/>
        <v>33000000</v>
      </c>
      <c r="CA11" s="152">
        <f t="shared" si="17"/>
        <v>0</v>
      </c>
      <c r="CB11" s="152">
        <f t="shared" si="17"/>
        <v>0</v>
      </c>
      <c r="CC11" s="152">
        <f t="shared" si="17"/>
        <v>0</v>
      </c>
      <c r="CD11" s="152">
        <f t="shared" si="17"/>
        <v>0</v>
      </c>
      <c r="CE11" s="152">
        <f t="shared" si="17"/>
        <v>0</v>
      </c>
      <c r="CF11" s="152">
        <f t="shared" si="17"/>
        <v>0</v>
      </c>
      <c r="CG11" s="156">
        <f t="shared" si="17"/>
        <v>0</v>
      </c>
      <c r="CH11" s="157">
        <f t="shared" si="17"/>
        <v>33000000</v>
      </c>
      <c r="CI11" s="152">
        <f t="shared" si="17"/>
        <v>33000000</v>
      </c>
      <c r="CJ11" s="152">
        <f t="shared" si="17"/>
        <v>0</v>
      </c>
      <c r="CK11" s="152">
        <f t="shared" si="17"/>
        <v>0</v>
      </c>
      <c r="CL11" s="152">
        <f t="shared" si="17"/>
        <v>0</v>
      </c>
      <c r="CM11" s="152">
        <f t="shared" si="17"/>
        <v>0</v>
      </c>
      <c r="CN11" s="152">
        <f t="shared" si="17"/>
        <v>0</v>
      </c>
      <c r="CO11" s="152">
        <f t="shared" si="17"/>
        <v>0</v>
      </c>
      <c r="CP11" s="152">
        <f t="shared" si="17"/>
        <v>0</v>
      </c>
      <c r="CQ11" s="156">
        <f t="shared" ref="CQ11:CQ21" si="18">SUM(CH11:CP11)</f>
        <v>66000000</v>
      </c>
      <c r="CR11" s="158"/>
      <c r="CS11" s="160">
        <f>SUM(CS12)</f>
        <v>198000</v>
      </c>
      <c r="CT11" s="145"/>
      <c r="CU11" s="145"/>
      <c r="CV11" s="145"/>
      <c r="CW11" s="145"/>
      <c r="CX11" s="145"/>
      <c r="CY11" s="161">
        <f>SUM(CY12)</f>
        <v>66000000</v>
      </c>
      <c r="CZ11" s="151"/>
      <c r="DA11" s="162"/>
    </row>
    <row r="12" spans="1:105" ht="26.1" customHeight="1" x14ac:dyDescent="0.25">
      <c r="A12" s="204" t="s">
        <v>13</v>
      </c>
      <c r="B12" s="205" t="s">
        <v>670</v>
      </c>
      <c r="C12" s="237" t="s">
        <v>459</v>
      </c>
      <c r="D12" s="205" t="s">
        <v>357</v>
      </c>
      <c r="E12" s="47" t="s">
        <v>463</v>
      </c>
      <c r="F12" s="50" t="s">
        <v>464</v>
      </c>
      <c r="G12" s="48" t="s">
        <v>465</v>
      </c>
      <c r="H12" s="50" t="s">
        <v>103</v>
      </c>
      <c r="I12" s="49"/>
      <c r="J12" s="49" t="s">
        <v>230</v>
      </c>
      <c r="K12" s="206"/>
      <c r="L12" s="207"/>
      <c r="M12" s="208"/>
      <c r="O12" s="237" t="s">
        <v>459</v>
      </c>
      <c r="P12" s="47" t="s">
        <v>463</v>
      </c>
      <c r="Q12" s="48" t="s">
        <v>398</v>
      </c>
      <c r="R12" s="48"/>
      <c r="S12" s="48" t="s">
        <v>307</v>
      </c>
      <c r="T12" s="48"/>
      <c r="U12" s="48" t="s">
        <v>314</v>
      </c>
      <c r="V12" s="48"/>
      <c r="W12" s="48"/>
      <c r="X12" s="48"/>
      <c r="Y12" s="48"/>
      <c r="Z12" s="48"/>
      <c r="AA12" s="48"/>
      <c r="AB12" s="48" t="s">
        <v>314</v>
      </c>
      <c r="AC12" s="48"/>
      <c r="AD12" s="48"/>
      <c r="AE12" s="48"/>
      <c r="AF12" s="209"/>
      <c r="AG12" s="47"/>
      <c r="AH12" s="210"/>
      <c r="AI12" s="68" t="s">
        <v>460</v>
      </c>
      <c r="AJ12" s="170"/>
      <c r="AK12" s="170">
        <v>0</v>
      </c>
      <c r="AL12" s="170">
        <v>0</v>
      </c>
      <c r="AM12" s="170">
        <v>0</v>
      </c>
      <c r="AN12" s="170">
        <v>0</v>
      </c>
      <c r="AO12" s="170">
        <v>0</v>
      </c>
      <c r="AP12" s="170">
        <v>0</v>
      </c>
      <c r="AQ12" s="170">
        <v>0</v>
      </c>
      <c r="AR12" s="170">
        <v>0</v>
      </c>
      <c r="AS12" s="170">
        <v>0</v>
      </c>
      <c r="AT12" s="170"/>
      <c r="AU12" s="170"/>
      <c r="AV12" s="170">
        <v>0</v>
      </c>
      <c r="AW12" s="170">
        <v>1</v>
      </c>
      <c r="AX12" s="170">
        <v>0</v>
      </c>
      <c r="AY12" s="170">
        <v>0</v>
      </c>
      <c r="AZ12" s="170">
        <v>0</v>
      </c>
      <c r="BA12" s="170">
        <v>0</v>
      </c>
      <c r="BB12" s="170">
        <v>0</v>
      </c>
      <c r="BC12" s="170">
        <v>0</v>
      </c>
      <c r="BD12" s="170">
        <v>0</v>
      </c>
      <c r="BE12" s="48"/>
      <c r="BF12" s="48"/>
      <c r="BG12" s="206"/>
      <c r="BH12" s="68" t="s">
        <v>349</v>
      </c>
      <c r="BI12" s="48" t="s">
        <v>313</v>
      </c>
      <c r="BJ12" s="211"/>
      <c r="BK12" s="212">
        <v>0</v>
      </c>
      <c r="BL12" s="170">
        <v>0</v>
      </c>
      <c r="BM12" s="170">
        <v>0</v>
      </c>
      <c r="BN12" s="170">
        <v>0</v>
      </c>
      <c r="BO12" s="170">
        <v>0</v>
      </c>
      <c r="BP12" s="170">
        <v>0</v>
      </c>
      <c r="BQ12" s="170">
        <v>0</v>
      </c>
      <c r="BR12" s="170">
        <v>0</v>
      </c>
      <c r="BS12" s="170">
        <v>0</v>
      </c>
      <c r="BT12" s="213">
        <v>0</v>
      </c>
      <c r="BU12" s="214"/>
      <c r="BV12" s="48"/>
      <c r="BW12" s="48"/>
      <c r="BX12" s="216"/>
      <c r="BY12" s="212">
        <f>60000*550</f>
        <v>33000000</v>
      </c>
      <c r="BZ12" s="217">
        <f>60000*550</f>
        <v>33000000</v>
      </c>
      <c r="CA12" s="170">
        <v>0</v>
      </c>
      <c r="CB12" s="170">
        <v>0</v>
      </c>
      <c r="CC12" s="170">
        <v>0</v>
      </c>
      <c r="CD12" s="170">
        <v>0</v>
      </c>
      <c r="CE12" s="170">
        <v>0</v>
      </c>
      <c r="CF12" s="170">
        <v>0</v>
      </c>
      <c r="CG12" s="213">
        <v>0</v>
      </c>
      <c r="CH12" s="217">
        <f>+BY12-BK12</f>
        <v>33000000</v>
      </c>
      <c r="CI12" s="170">
        <f>+BZ12-BL12</f>
        <v>33000000</v>
      </c>
      <c r="CJ12" s="170">
        <f t="shared" ref="CJ12:CP12" si="19">+CA12-BM12</f>
        <v>0</v>
      </c>
      <c r="CK12" s="170">
        <f t="shared" si="19"/>
        <v>0</v>
      </c>
      <c r="CL12" s="170">
        <f t="shared" si="19"/>
        <v>0</v>
      </c>
      <c r="CM12" s="170">
        <f t="shared" si="19"/>
        <v>0</v>
      </c>
      <c r="CN12" s="170">
        <f t="shared" si="19"/>
        <v>0</v>
      </c>
      <c r="CO12" s="170">
        <f t="shared" si="19"/>
        <v>0</v>
      </c>
      <c r="CP12" s="170">
        <f t="shared" si="19"/>
        <v>0</v>
      </c>
      <c r="CQ12" s="218">
        <f>SUM(CH12:CP12)</f>
        <v>66000000</v>
      </c>
      <c r="CR12" s="238"/>
      <c r="CS12" s="239">
        <v>198000</v>
      </c>
      <c r="CT12" s="239" t="s">
        <v>461</v>
      </c>
      <c r="CU12" s="210"/>
      <c r="CV12" s="210"/>
      <c r="CW12" s="210"/>
      <c r="CX12" s="210"/>
      <c r="CY12" s="240">
        <f>+CQ12</f>
        <v>66000000</v>
      </c>
      <c r="CZ12" s="222"/>
      <c r="DA12" s="223"/>
    </row>
    <row r="13" spans="1:105" ht="26.1" customHeight="1" x14ac:dyDescent="0.25">
      <c r="A13" s="143" t="s">
        <v>458</v>
      </c>
      <c r="B13" s="144" t="s">
        <v>671</v>
      </c>
      <c r="C13" s="143" t="s">
        <v>458</v>
      </c>
      <c r="D13" s="144" t="s">
        <v>357</v>
      </c>
      <c r="E13" s="59" t="s">
        <v>489</v>
      </c>
      <c r="F13" s="145"/>
      <c r="G13" s="60"/>
      <c r="H13" s="61"/>
      <c r="I13" s="62"/>
      <c r="J13" s="62"/>
      <c r="K13" s="147" t="s">
        <v>253</v>
      </c>
      <c r="L13" s="148" t="s">
        <v>254</v>
      </c>
      <c r="M13" s="149" t="s">
        <v>255</v>
      </c>
      <c r="O13" s="143" t="s">
        <v>458</v>
      </c>
      <c r="P13" s="150"/>
      <c r="Q13" s="145"/>
      <c r="R13" s="145"/>
      <c r="S13" s="145"/>
      <c r="T13" s="145"/>
      <c r="U13" s="145"/>
      <c r="V13" s="145"/>
      <c r="W13" s="145"/>
      <c r="X13" s="145"/>
      <c r="Y13" s="145"/>
      <c r="Z13" s="145"/>
      <c r="AA13" s="145"/>
      <c r="AB13" s="145"/>
      <c r="AC13" s="145"/>
      <c r="AD13" s="145"/>
      <c r="AE13" s="145"/>
      <c r="AF13" s="151"/>
      <c r="AG13" s="150"/>
      <c r="AH13" s="145"/>
      <c r="AI13" s="145"/>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45"/>
      <c r="BF13" s="151"/>
      <c r="BG13" s="150"/>
      <c r="BH13" s="154" t="s">
        <v>357</v>
      </c>
      <c r="BI13" s="155"/>
      <c r="BJ13" s="156">
        <f>SUM(BJ14)</f>
        <v>0</v>
      </c>
      <c r="BK13" s="157">
        <f>SUM(BK14:BK15)</f>
        <v>2977200</v>
      </c>
      <c r="BL13" s="152">
        <f>SUM(BL14:BL15)</f>
        <v>3126060</v>
      </c>
      <c r="BM13" s="152">
        <f t="shared" ref="BM13:BS13" si="20">SUM(BM14:BM15)</f>
        <v>3282363</v>
      </c>
      <c r="BN13" s="152">
        <f t="shared" si="20"/>
        <v>3446481.1500000004</v>
      </c>
      <c r="BO13" s="152">
        <f t="shared" si="20"/>
        <v>3618805.2075000005</v>
      </c>
      <c r="BP13" s="152">
        <f t="shared" si="20"/>
        <v>3799745.4678750006</v>
      </c>
      <c r="BQ13" s="152">
        <f t="shared" si="20"/>
        <v>3989732.7412687507</v>
      </c>
      <c r="BR13" s="152">
        <f t="shared" si="20"/>
        <v>4189219.3783321884</v>
      </c>
      <c r="BS13" s="152">
        <f t="shared" si="20"/>
        <v>4398680.3472487982</v>
      </c>
      <c r="BT13" s="156">
        <f t="shared" ref="BT13:BT18" si="21">SUM(BK13:BS13)</f>
        <v>32828287.292224742</v>
      </c>
      <c r="BU13" s="158"/>
      <c r="BV13" s="145"/>
      <c r="BW13" s="145"/>
      <c r="BX13" s="159"/>
      <c r="BY13" s="157">
        <f>SUM(BY14:BY15)</f>
        <v>60270000</v>
      </c>
      <c r="BZ13" s="152">
        <f>SUM(BZ14:BZ15)</f>
        <v>112683500</v>
      </c>
      <c r="CA13" s="152">
        <f t="shared" ref="CA13:CF13" si="22">SUM(CA14:CA15)</f>
        <v>165117675</v>
      </c>
      <c r="CB13" s="152">
        <f t="shared" si="22"/>
        <v>217573558.75</v>
      </c>
      <c r="CC13" s="152">
        <f t="shared" si="22"/>
        <v>270052236.6875</v>
      </c>
      <c r="CD13" s="152">
        <f t="shared" si="22"/>
        <v>322554848.52187502</v>
      </c>
      <c r="CE13" s="152">
        <f t="shared" si="22"/>
        <v>375082590.94796872</v>
      </c>
      <c r="CF13" s="152">
        <f t="shared" si="22"/>
        <v>427636720.49536717</v>
      </c>
      <c r="CG13" s="156">
        <f>SUM(CG14:CG15)</f>
        <v>441218556.52013552</v>
      </c>
      <c r="CH13" s="157">
        <f>SUM(CH14:CH15)</f>
        <v>57292800</v>
      </c>
      <c r="CI13" s="152">
        <f>SUM(CI14:CI15)</f>
        <v>109557440</v>
      </c>
      <c r="CJ13" s="152">
        <f t="shared" ref="CJ13:CP13" si="23">SUM(CJ14:CJ15)</f>
        <v>161835312</v>
      </c>
      <c r="CK13" s="152">
        <f t="shared" si="23"/>
        <v>214127077.59999999</v>
      </c>
      <c r="CL13" s="152">
        <f t="shared" si="23"/>
        <v>266433431.47999999</v>
      </c>
      <c r="CM13" s="152">
        <f t="shared" si="23"/>
        <v>318755103.05400002</v>
      </c>
      <c r="CN13" s="152">
        <f t="shared" si="23"/>
        <v>371092858.20670003</v>
      </c>
      <c r="CO13" s="152">
        <f t="shared" si="23"/>
        <v>423447501.11703497</v>
      </c>
      <c r="CP13" s="152">
        <f t="shared" si="23"/>
        <v>436819876.17288673</v>
      </c>
      <c r="CQ13" s="156">
        <f t="shared" si="18"/>
        <v>2359361399.6306219</v>
      </c>
      <c r="CR13" s="158"/>
      <c r="CS13" s="160">
        <f>SUM(CS14:CS15)</f>
        <v>89000</v>
      </c>
      <c r="CT13" s="145"/>
      <c r="CU13" s="145"/>
      <c r="CV13" s="145"/>
      <c r="CW13" s="145"/>
      <c r="CX13" s="145"/>
      <c r="CY13" s="161">
        <f>SUM(CY14:CY15)</f>
        <v>2310411399.6306219</v>
      </c>
      <c r="CZ13" s="151"/>
      <c r="DA13" s="162"/>
    </row>
    <row r="14" spans="1:105" ht="26.1" customHeight="1" x14ac:dyDescent="0.25">
      <c r="A14" s="204" t="s">
        <v>14</v>
      </c>
      <c r="B14" s="205" t="s">
        <v>672</v>
      </c>
      <c r="C14" s="204" t="s">
        <v>14</v>
      </c>
      <c r="D14" s="205" t="s">
        <v>357</v>
      </c>
      <c r="E14" s="47" t="s">
        <v>5</v>
      </c>
      <c r="F14" s="48" t="s">
        <v>402</v>
      </c>
      <c r="G14" s="48" t="s">
        <v>373</v>
      </c>
      <c r="H14" s="48" t="s">
        <v>479</v>
      </c>
      <c r="I14" s="49" t="s">
        <v>244</v>
      </c>
      <c r="J14" s="49" t="s">
        <v>237</v>
      </c>
      <c r="K14" s="206"/>
      <c r="L14" s="207"/>
      <c r="M14" s="208"/>
      <c r="O14" s="204" t="s">
        <v>14</v>
      </c>
      <c r="P14" s="47" t="s">
        <v>5</v>
      </c>
      <c r="Q14" s="48" t="s">
        <v>402</v>
      </c>
      <c r="R14" s="48" t="s">
        <v>314</v>
      </c>
      <c r="S14" s="48" t="s">
        <v>314</v>
      </c>
      <c r="T14" s="48" t="s">
        <v>314</v>
      </c>
      <c r="U14" s="48"/>
      <c r="V14" s="48" t="s">
        <v>314</v>
      </c>
      <c r="W14" s="48"/>
      <c r="X14" s="48" t="s">
        <v>314</v>
      </c>
      <c r="Y14" s="48"/>
      <c r="Z14" s="48"/>
      <c r="AA14" s="48"/>
      <c r="AB14" s="48"/>
      <c r="AC14" s="48" t="s">
        <v>307</v>
      </c>
      <c r="AD14" s="207"/>
      <c r="AE14" s="207"/>
      <c r="AF14" s="208"/>
      <c r="AG14" s="47" t="s">
        <v>315</v>
      </c>
      <c r="AH14" s="210" t="s">
        <v>319</v>
      </c>
      <c r="AI14" s="68" t="s">
        <v>377</v>
      </c>
      <c r="AJ14" s="170"/>
      <c r="AK14" s="170">
        <v>9</v>
      </c>
      <c r="AL14" s="170">
        <v>9</v>
      </c>
      <c r="AM14" s="170">
        <v>9</v>
      </c>
      <c r="AN14" s="170">
        <v>9</v>
      </c>
      <c r="AO14" s="170">
        <v>9</v>
      </c>
      <c r="AP14" s="170">
        <v>9</v>
      </c>
      <c r="AQ14" s="170">
        <v>9</v>
      </c>
      <c r="AR14" s="170">
        <v>9</v>
      </c>
      <c r="AS14" s="170">
        <v>9</v>
      </c>
      <c r="AT14" s="170"/>
      <c r="AU14" s="170"/>
      <c r="AV14" s="170">
        <v>25</v>
      </c>
      <c r="AW14" s="170">
        <v>25</v>
      </c>
      <c r="AX14" s="170">
        <v>25</v>
      </c>
      <c r="AY14" s="170">
        <v>25</v>
      </c>
      <c r="AZ14" s="170">
        <v>25</v>
      </c>
      <c r="BA14" s="170">
        <v>25</v>
      </c>
      <c r="BB14" s="170">
        <v>25</v>
      </c>
      <c r="BC14" s="170">
        <v>25</v>
      </c>
      <c r="BD14" s="170">
        <v>25</v>
      </c>
      <c r="BE14" s="48"/>
      <c r="BF14" s="94"/>
      <c r="BG14" s="206"/>
      <c r="BH14" s="68" t="s">
        <v>349</v>
      </c>
      <c r="BI14" s="48" t="s">
        <v>313</v>
      </c>
      <c r="BJ14" s="241"/>
      <c r="BK14" s="212">
        <f>+AK14*330800</f>
        <v>2977200</v>
      </c>
      <c r="BL14" s="170">
        <f>+BK14*1.05</f>
        <v>3126060</v>
      </c>
      <c r="BM14" s="170">
        <f t="shared" ref="BM14:BS14" si="24">+BL14*1.05</f>
        <v>3282363</v>
      </c>
      <c r="BN14" s="170">
        <f t="shared" si="24"/>
        <v>3446481.1500000004</v>
      </c>
      <c r="BO14" s="170">
        <f t="shared" si="24"/>
        <v>3618805.2075000005</v>
      </c>
      <c r="BP14" s="170">
        <f t="shared" si="24"/>
        <v>3799745.4678750006</v>
      </c>
      <c r="BQ14" s="170">
        <f t="shared" si="24"/>
        <v>3989732.7412687507</v>
      </c>
      <c r="BR14" s="170">
        <f t="shared" si="24"/>
        <v>4189219.3783321884</v>
      </c>
      <c r="BS14" s="170">
        <f t="shared" si="24"/>
        <v>4398680.3472487982</v>
      </c>
      <c r="BT14" s="213">
        <f t="shared" si="21"/>
        <v>32828287.292224742</v>
      </c>
      <c r="BU14" s="242">
        <v>1</v>
      </c>
      <c r="BV14" s="48"/>
      <c r="BW14" s="48"/>
      <c r="BX14" s="243"/>
      <c r="BY14" s="212">
        <f>+AV14*330800</f>
        <v>8270000</v>
      </c>
      <c r="BZ14" s="170">
        <f>+BY14*1.05</f>
        <v>8683500</v>
      </c>
      <c r="CA14" s="170">
        <f t="shared" ref="CA14:CG14" si="25">+BZ14*1.05</f>
        <v>9117675</v>
      </c>
      <c r="CB14" s="170">
        <f t="shared" si="25"/>
        <v>9573558.75</v>
      </c>
      <c r="CC14" s="170">
        <f t="shared" si="25"/>
        <v>10052236.6875</v>
      </c>
      <c r="CD14" s="170">
        <f t="shared" si="25"/>
        <v>10554848.521875</v>
      </c>
      <c r="CE14" s="170">
        <f t="shared" si="25"/>
        <v>11082590.947968749</v>
      </c>
      <c r="CF14" s="170">
        <f t="shared" si="25"/>
        <v>11636720.495367188</v>
      </c>
      <c r="CG14" s="213">
        <f t="shared" si="25"/>
        <v>12218556.520135548</v>
      </c>
      <c r="CH14" s="212">
        <f>+BY14-BK14</f>
        <v>5292800</v>
      </c>
      <c r="CI14" s="170">
        <f t="shared" ref="CI14:CP14" si="26">+BZ14-BL14</f>
        <v>5557440</v>
      </c>
      <c r="CJ14" s="170">
        <f t="shared" si="26"/>
        <v>5835312</v>
      </c>
      <c r="CK14" s="170">
        <f t="shared" si="26"/>
        <v>6127077.5999999996</v>
      </c>
      <c r="CL14" s="170">
        <f t="shared" si="26"/>
        <v>6433431.4799999995</v>
      </c>
      <c r="CM14" s="170">
        <f t="shared" si="26"/>
        <v>6755103.0539999995</v>
      </c>
      <c r="CN14" s="170">
        <f t="shared" si="26"/>
        <v>7092858.206699999</v>
      </c>
      <c r="CO14" s="170">
        <f t="shared" si="26"/>
        <v>7447501.1170349997</v>
      </c>
      <c r="CP14" s="170">
        <f t="shared" si="26"/>
        <v>7819876.1728867497</v>
      </c>
      <c r="CQ14" s="213">
        <f t="shared" si="18"/>
        <v>58361399.630621754</v>
      </c>
      <c r="CR14" s="219"/>
      <c r="CS14" s="220">
        <v>89000</v>
      </c>
      <c r="CT14" s="220" t="s">
        <v>378</v>
      </c>
      <c r="CU14" s="210"/>
      <c r="CV14" s="210"/>
      <c r="CW14" s="210"/>
      <c r="CX14" s="210"/>
      <c r="CY14" s="221">
        <f>+CQ14-CS14*550</f>
        <v>9411399.6306217536</v>
      </c>
      <c r="CZ14" s="222"/>
      <c r="DA14" s="244" t="s">
        <v>379</v>
      </c>
    </row>
    <row r="15" spans="1:105" ht="26.1" customHeight="1" x14ac:dyDescent="0.25">
      <c r="A15" s="204"/>
      <c r="B15" s="205" t="s">
        <v>754</v>
      </c>
      <c r="C15" s="204" t="s">
        <v>475</v>
      </c>
      <c r="D15" s="205" t="s">
        <v>357</v>
      </c>
      <c r="E15" s="47" t="s">
        <v>4</v>
      </c>
      <c r="F15" s="48" t="s">
        <v>477</v>
      </c>
      <c r="G15" s="48" t="s">
        <v>395</v>
      </c>
      <c r="H15" s="48" t="s">
        <v>478</v>
      </c>
      <c r="I15" s="49"/>
      <c r="J15" s="49" t="s">
        <v>232</v>
      </c>
      <c r="K15" s="206"/>
      <c r="L15" s="207"/>
      <c r="M15" s="208"/>
      <c r="O15" s="204" t="s">
        <v>475</v>
      </c>
      <c r="P15" s="47" t="s">
        <v>4</v>
      </c>
      <c r="Q15" s="48" t="s">
        <v>407</v>
      </c>
      <c r="R15" s="48" t="s">
        <v>314</v>
      </c>
      <c r="S15" s="48" t="s">
        <v>314</v>
      </c>
      <c r="T15" s="48"/>
      <c r="U15" s="48"/>
      <c r="V15" s="48"/>
      <c r="W15" s="48"/>
      <c r="X15" s="48" t="s">
        <v>307</v>
      </c>
      <c r="Y15" s="48"/>
      <c r="Z15" s="48"/>
      <c r="AA15" s="48"/>
      <c r="AB15" s="48"/>
      <c r="AC15" s="48" t="s">
        <v>314</v>
      </c>
      <c r="AD15" s="207"/>
      <c r="AE15" s="207"/>
      <c r="AF15" s="208"/>
      <c r="AG15" s="47" t="s">
        <v>315</v>
      </c>
      <c r="AH15" s="210" t="s">
        <v>319</v>
      </c>
      <c r="AI15" s="68" t="s">
        <v>476</v>
      </c>
      <c r="AJ15" s="170"/>
      <c r="AK15" s="170">
        <v>0</v>
      </c>
      <c r="AL15" s="170">
        <v>0</v>
      </c>
      <c r="AM15" s="170">
        <v>0</v>
      </c>
      <c r="AN15" s="170">
        <v>0</v>
      </c>
      <c r="AO15" s="170">
        <v>0</v>
      </c>
      <c r="AP15" s="170">
        <v>0</v>
      </c>
      <c r="AQ15" s="170">
        <v>0</v>
      </c>
      <c r="AR15" s="170">
        <v>0</v>
      </c>
      <c r="AS15" s="170">
        <v>0</v>
      </c>
      <c r="AT15" s="170"/>
      <c r="AU15" s="170"/>
      <c r="AV15" s="170">
        <v>4</v>
      </c>
      <c r="AW15" s="170">
        <v>4</v>
      </c>
      <c r="AX15" s="170">
        <v>4</v>
      </c>
      <c r="AY15" s="170">
        <v>4</v>
      </c>
      <c r="AZ15" s="170">
        <v>4</v>
      </c>
      <c r="BA15" s="170">
        <v>4</v>
      </c>
      <c r="BB15" s="170">
        <v>4</v>
      </c>
      <c r="BC15" s="170">
        <v>4</v>
      </c>
      <c r="BD15" s="170">
        <v>1</v>
      </c>
      <c r="BE15" s="48"/>
      <c r="BF15" s="94"/>
      <c r="BG15" s="206"/>
      <c r="BH15" s="68" t="s">
        <v>349</v>
      </c>
      <c r="BI15" s="48" t="s">
        <v>313</v>
      </c>
      <c r="BJ15" s="241"/>
      <c r="BK15" s="212">
        <v>0</v>
      </c>
      <c r="BL15" s="170">
        <v>0</v>
      </c>
      <c r="BM15" s="170">
        <v>0</v>
      </c>
      <c r="BN15" s="170">
        <v>0</v>
      </c>
      <c r="BO15" s="170">
        <v>0</v>
      </c>
      <c r="BP15" s="170">
        <v>0</v>
      </c>
      <c r="BQ15" s="170">
        <v>0</v>
      </c>
      <c r="BR15" s="170">
        <v>0</v>
      </c>
      <c r="BS15" s="170">
        <v>0</v>
      </c>
      <c r="BT15" s="213">
        <f t="shared" si="21"/>
        <v>0</v>
      </c>
      <c r="BU15" s="245"/>
      <c r="BV15" s="48"/>
      <c r="BW15" s="48"/>
      <c r="BX15" s="243"/>
      <c r="BY15" s="212">
        <f>1000000*13*AV15</f>
        <v>52000000</v>
      </c>
      <c r="BZ15" s="170">
        <f>+BY15+1000000*13*AW15</f>
        <v>104000000</v>
      </c>
      <c r="CA15" s="170">
        <f t="shared" ref="CA15:CG15" si="27">+BZ15+1000000*13*AX15</f>
        <v>156000000</v>
      </c>
      <c r="CB15" s="170">
        <f t="shared" si="27"/>
        <v>208000000</v>
      </c>
      <c r="CC15" s="170">
        <f t="shared" si="27"/>
        <v>260000000</v>
      </c>
      <c r="CD15" s="170">
        <f t="shared" si="27"/>
        <v>312000000</v>
      </c>
      <c r="CE15" s="170">
        <f t="shared" si="27"/>
        <v>364000000</v>
      </c>
      <c r="CF15" s="170">
        <f t="shared" si="27"/>
        <v>416000000</v>
      </c>
      <c r="CG15" s="170">
        <f t="shared" si="27"/>
        <v>429000000</v>
      </c>
      <c r="CH15" s="212">
        <f>+BY15-BK15</f>
        <v>52000000</v>
      </c>
      <c r="CI15" s="170">
        <f t="shared" ref="CI15:CP15" si="28">+BZ15-BL15</f>
        <v>104000000</v>
      </c>
      <c r="CJ15" s="170">
        <f t="shared" si="28"/>
        <v>156000000</v>
      </c>
      <c r="CK15" s="170">
        <f t="shared" si="28"/>
        <v>208000000</v>
      </c>
      <c r="CL15" s="170">
        <f t="shared" si="28"/>
        <v>260000000</v>
      </c>
      <c r="CM15" s="170">
        <f t="shared" si="28"/>
        <v>312000000</v>
      </c>
      <c r="CN15" s="170">
        <f t="shared" si="28"/>
        <v>364000000</v>
      </c>
      <c r="CO15" s="170">
        <f t="shared" si="28"/>
        <v>416000000</v>
      </c>
      <c r="CP15" s="170">
        <f t="shared" si="28"/>
        <v>429000000</v>
      </c>
      <c r="CQ15" s="213">
        <f>SUM(CH15:CP15)</f>
        <v>2301000000</v>
      </c>
      <c r="CR15" s="219"/>
      <c r="CS15" s="220"/>
      <c r="CT15" s="220"/>
      <c r="CU15" s="210"/>
      <c r="CV15" s="210"/>
      <c r="CW15" s="210"/>
      <c r="CX15" s="210"/>
      <c r="CY15" s="221">
        <f>+CQ15</f>
        <v>2301000000</v>
      </c>
      <c r="CZ15" s="222"/>
      <c r="DA15" s="246"/>
    </row>
    <row r="16" spans="1:105" ht="26.1" customHeight="1" x14ac:dyDescent="0.25">
      <c r="A16" s="143" t="s">
        <v>15</v>
      </c>
      <c r="B16" s="144" t="s">
        <v>673</v>
      </c>
      <c r="C16" s="143" t="s">
        <v>15</v>
      </c>
      <c r="D16" s="144" t="s">
        <v>357</v>
      </c>
      <c r="E16" s="59" t="s">
        <v>4</v>
      </c>
      <c r="F16" s="145"/>
      <c r="G16" s="60"/>
      <c r="H16" s="60"/>
      <c r="I16" s="62"/>
      <c r="J16" s="62"/>
      <c r="K16" s="147" t="s">
        <v>256</v>
      </c>
      <c r="L16" s="148"/>
      <c r="M16" s="149"/>
      <c r="O16" s="143" t="s">
        <v>15</v>
      </c>
      <c r="P16" s="150"/>
      <c r="Q16" s="145"/>
      <c r="R16" s="145"/>
      <c r="S16" s="145"/>
      <c r="T16" s="145"/>
      <c r="U16" s="145"/>
      <c r="V16" s="145"/>
      <c r="W16" s="145"/>
      <c r="X16" s="145"/>
      <c r="Y16" s="145"/>
      <c r="Z16" s="145"/>
      <c r="AA16" s="145"/>
      <c r="AB16" s="145"/>
      <c r="AC16" s="145"/>
      <c r="AD16" s="145"/>
      <c r="AE16" s="145"/>
      <c r="AF16" s="151"/>
      <c r="AG16" s="150"/>
      <c r="AH16" s="145"/>
      <c r="AI16" s="145"/>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45"/>
      <c r="BF16" s="151"/>
      <c r="BG16" s="150"/>
      <c r="BH16" s="154" t="s">
        <v>357</v>
      </c>
      <c r="BI16" s="155"/>
      <c r="BJ16" s="156">
        <f>SUM(BJ17)</f>
        <v>0</v>
      </c>
      <c r="BK16" s="157">
        <f>SUM(BK17:BK18)</f>
        <v>904815450</v>
      </c>
      <c r="BL16" s="152">
        <f t="shared" ref="BL16:BS16" si="29">SUM(BL17:BL18)</f>
        <v>950056222.5</v>
      </c>
      <c r="BM16" s="152">
        <f t="shared" si="29"/>
        <v>997559033.625</v>
      </c>
      <c r="BN16" s="152">
        <f t="shared" si="29"/>
        <v>1047436985.3062501</v>
      </c>
      <c r="BO16" s="152">
        <f t="shared" si="29"/>
        <v>1099808834.5715625</v>
      </c>
      <c r="BP16" s="152">
        <f t="shared" si="29"/>
        <v>1154799276.3001406</v>
      </c>
      <c r="BQ16" s="152">
        <f t="shared" si="29"/>
        <v>1212539240.1151476</v>
      </c>
      <c r="BR16" s="152">
        <f t="shared" si="29"/>
        <v>1273166202.1209049</v>
      </c>
      <c r="BS16" s="152">
        <f t="shared" si="29"/>
        <v>1336824512.2269502</v>
      </c>
      <c r="BT16" s="156">
        <f t="shared" si="21"/>
        <v>9977005756.765955</v>
      </c>
      <c r="BU16" s="158"/>
      <c r="BV16" s="145"/>
      <c r="BW16" s="145"/>
      <c r="BX16" s="159"/>
      <c r="BY16" s="157">
        <f>SUM(BY17:BY18)</f>
        <v>1495463200</v>
      </c>
      <c r="BZ16" s="152">
        <f>SUM(BZ17:BZ18)</f>
        <v>1476543860</v>
      </c>
      <c r="CA16" s="152">
        <f t="shared" ref="CA16:CF16" si="30">SUM(CA17:CA18)</f>
        <v>1426208553</v>
      </c>
      <c r="CB16" s="152">
        <f t="shared" si="30"/>
        <v>1497518980.6500001</v>
      </c>
      <c r="CC16" s="152">
        <f t="shared" si="30"/>
        <v>1572394929.6825001</v>
      </c>
      <c r="CD16" s="152">
        <f t="shared" si="30"/>
        <v>1651014676.1666253</v>
      </c>
      <c r="CE16" s="152">
        <f t="shared" si="30"/>
        <v>1733565409.9749565</v>
      </c>
      <c r="CF16" s="152">
        <f t="shared" si="30"/>
        <v>1820243680.4737043</v>
      </c>
      <c r="CG16" s="156">
        <f>SUM(CG17:CG18)</f>
        <v>1911255864.4973896</v>
      </c>
      <c r="CH16" s="157">
        <f>SUM(CH17:CH18)</f>
        <v>590647750</v>
      </c>
      <c r="CI16" s="152">
        <f>SUM(CI17:CI18)</f>
        <v>526487637.5</v>
      </c>
      <c r="CJ16" s="152">
        <f t="shared" ref="CJ16:CP16" si="31">SUM(CJ17:CJ18)</f>
        <v>428649519.375</v>
      </c>
      <c r="CK16" s="152">
        <f t="shared" si="31"/>
        <v>450081995.34375</v>
      </c>
      <c r="CL16" s="152">
        <f t="shared" si="31"/>
        <v>472586095.1109376</v>
      </c>
      <c r="CM16" s="152">
        <f t="shared" si="31"/>
        <v>496215399.86648464</v>
      </c>
      <c r="CN16" s="152">
        <f t="shared" si="31"/>
        <v>521026169.85980892</v>
      </c>
      <c r="CO16" s="152">
        <f t="shared" si="31"/>
        <v>547077478.35279942</v>
      </c>
      <c r="CP16" s="152">
        <f t="shared" si="31"/>
        <v>574431352.27043939</v>
      </c>
      <c r="CQ16" s="156">
        <f t="shared" si="18"/>
        <v>4607203397.6792202</v>
      </c>
      <c r="CR16" s="158"/>
      <c r="CS16" s="160">
        <f>SUM(CS17:CS18)</f>
        <v>772000</v>
      </c>
      <c r="CT16" s="145"/>
      <c r="CU16" s="145"/>
      <c r="CV16" s="145"/>
      <c r="CW16" s="145"/>
      <c r="CX16" s="145"/>
      <c r="CY16" s="161">
        <f>SUM(CY17:CY18)</f>
        <v>4182603397.6792202</v>
      </c>
      <c r="CZ16" s="151"/>
      <c r="DA16" s="162"/>
    </row>
    <row r="17" spans="1:105" ht="26.1" customHeight="1" x14ac:dyDescent="0.25">
      <c r="A17" s="163" t="s">
        <v>16</v>
      </c>
      <c r="B17" s="204" t="s">
        <v>674</v>
      </c>
      <c r="C17" s="204" t="s">
        <v>437</v>
      </c>
      <c r="D17" s="204" t="s">
        <v>357</v>
      </c>
      <c r="E17" s="421" t="s">
        <v>4</v>
      </c>
      <c r="F17" s="48" t="s">
        <v>438</v>
      </c>
      <c r="G17" s="48" t="s">
        <v>393</v>
      </c>
      <c r="H17" s="88" t="s">
        <v>104</v>
      </c>
      <c r="I17" s="49"/>
      <c r="J17" s="49" t="s">
        <v>232</v>
      </c>
      <c r="K17" s="206"/>
      <c r="L17" s="207"/>
      <c r="M17" s="208"/>
      <c r="O17" s="204" t="s">
        <v>437</v>
      </c>
      <c r="P17" s="47" t="s">
        <v>438</v>
      </c>
      <c r="Q17" s="48" t="s">
        <v>393</v>
      </c>
      <c r="R17" s="48" t="s">
        <v>314</v>
      </c>
      <c r="S17" s="48" t="s">
        <v>314</v>
      </c>
      <c r="T17" s="48" t="s">
        <v>314</v>
      </c>
      <c r="U17" s="48" t="s">
        <v>314</v>
      </c>
      <c r="V17" s="48" t="s">
        <v>314</v>
      </c>
      <c r="W17" s="48"/>
      <c r="X17" s="48" t="s">
        <v>307</v>
      </c>
      <c r="Y17" s="48"/>
      <c r="Z17" s="48"/>
      <c r="AA17" s="48"/>
      <c r="AB17" s="48"/>
      <c r="AC17" s="48" t="s">
        <v>314</v>
      </c>
      <c r="AD17" s="48"/>
      <c r="AE17" s="48"/>
      <c r="AF17" s="209"/>
      <c r="AG17" s="47" t="s">
        <v>315</v>
      </c>
      <c r="AH17" s="210" t="s">
        <v>319</v>
      </c>
      <c r="AI17" s="68" t="s">
        <v>439</v>
      </c>
      <c r="AJ17" s="170"/>
      <c r="AK17" s="170">
        <v>0</v>
      </c>
      <c r="AL17" s="170">
        <v>0</v>
      </c>
      <c r="AM17" s="170">
        <v>0</v>
      </c>
      <c r="AN17" s="170">
        <v>0</v>
      </c>
      <c r="AO17" s="170">
        <v>0</v>
      </c>
      <c r="AP17" s="170">
        <v>0</v>
      </c>
      <c r="AQ17" s="170">
        <v>0</v>
      </c>
      <c r="AR17" s="170">
        <v>0</v>
      </c>
      <c r="AS17" s="170">
        <v>0</v>
      </c>
      <c r="AT17" s="170"/>
      <c r="AU17" s="170"/>
      <c r="AV17" s="170">
        <v>9</v>
      </c>
      <c r="AW17" s="170">
        <v>7</v>
      </c>
      <c r="AX17" s="170">
        <v>0</v>
      </c>
      <c r="AY17" s="170">
        <v>0</v>
      </c>
      <c r="AZ17" s="170">
        <v>0</v>
      </c>
      <c r="BA17" s="170">
        <v>0</v>
      </c>
      <c r="BB17" s="170">
        <v>0</v>
      </c>
      <c r="BC17" s="170">
        <v>0</v>
      </c>
      <c r="BD17" s="170">
        <v>0</v>
      </c>
      <c r="BE17" s="48"/>
      <c r="BF17" s="48"/>
      <c r="BG17" s="206"/>
      <c r="BH17" s="68" t="s">
        <v>349</v>
      </c>
      <c r="BI17" s="48" t="s">
        <v>313</v>
      </c>
      <c r="BJ17" s="211"/>
      <c r="BK17" s="212">
        <v>0</v>
      </c>
      <c r="BL17" s="170">
        <v>0</v>
      </c>
      <c r="BM17" s="170">
        <v>0</v>
      </c>
      <c r="BN17" s="170">
        <v>0</v>
      </c>
      <c r="BO17" s="170">
        <v>0</v>
      </c>
      <c r="BP17" s="170">
        <v>0</v>
      </c>
      <c r="BQ17" s="170">
        <v>0</v>
      </c>
      <c r="BR17" s="170">
        <v>0</v>
      </c>
      <c r="BS17" s="170">
        <v>0</v>
      </c>
      <c r="BT17" s="213">
        <f t="shared" si="21"/>
        <v>0</v>
      </c>
      <c r="BU17" s="214"/>
      <c r="BV17" s="48"/>
      <c r="BW17" s="48"/>
      <c r="BX17" s="216"/>
      <c r="BY17" s="212">
        <f>367000*550</f>
        <v>201850000</v>
      </c>
      <c r="BZ17" s="170">
        <f>215000*550</f>
        <v>118250000</v>
      </c>
      <c r="CA17" s="170">
        <v>0</v>
      </c>
      <c r="CB17" s="170">
        <v>0</v>
      </c>
      <c r="CC17" s="170">
        <v>0</v>
      </c>
      <c r="CD17" s="170">
        <v>0</v>
      </c>
      <c r="CE17" s="170">
        <v>0</v>
      </c>
      <c r="CF17" s="170">
        <v>0</v>
      </c>
      <c r="CG17" s="213">
        <f t="shared" ref="CA17:CG18" si="32">+CF17*1.05</f>
        <v>0</v>
      </c>
      <c r="CH17" s="217">
        <f>+BY17-BK17</f>
        <v>201850000</v>
      </c>
      <c r="CI17" s="217">
        <f>+BZ17-BL17</f>
        <v>118250000</v>
      </c>
      <c r="CJ17" s="217">
        <f t="shared" ref="CJ17:CP17" si="33">+CA17-BM17</f>
        <v>0</v>
      </c>
      <c r="CK17" s="217">
        <f t="shared" si="33"/>
        <v>0</v>
      </c>
      <c r="CL17" s="217">
        <f t="shared" si="33"/>
        <v>0</v>
      </c>
      <c r="CM17" s="217">
        <f t="shared" si="33"/>
        <v>0</v>
      </c>
      <c r="CN17" s="217">
        <f t="shared" si="33"/>
        <v>0</v>
      </c>
      <c r="CO17" s="217">
        <f t="shared" si="33"/>
        <v>0</v>
      </c>
      <c r="CP17" s="217">
        <f t="shared" si="33"/>
        <v>0</v>
      </c>
      <c r="CQ17" s="218">
        <f>SUM(CH17:CP17)</f>
        <v>320100000</v>
      </c>
      <c r="CR17" s="219"/>
      <c r="CS17" s="220">
        <v>582000</v>
      </c>
      <c r="CT17" s="220" t="s">
        <v>337</v>
      </c>
      <c r="CU17" s="210"/>
      <c r="CV17" s="210"/>
      <c r="CW17" s="210"/>
      <c r="CX17" s="210"/>
      <c r="CY17" s="221">
        <f>+CQ17-CS17*550</f>
        <v>0</v>
      </c>
      <c r="CZ17" s="222"/>
      <c r="DA17" s="248"/>
    </row>
    <row r="18" spans="1:105" ht="26.1" customHeight="1" x14ac:dyDescent="0.25">
      <c r="A18" s="249"/>
      <c r="B18" s="185" t="s">
        <v>755</v>
      </c>
      <c r="C18" s="204" t="s">
        <v>442</v>
      </c>
      <c r="D18" s="185" t="s">
        <v>357</v>
      </c>
      <c r="E18" s="47" t="s">
        <v>4</v>
      </c>
      <c r="F18" s="48" t="s">
        <v>407</v>
      </c>
      <c r="G18" s="81" t="s">
        <v>653</v>
      </c>
      <c r="H18" s="88" t="s">
        <v>104</v>
      </c>
      <c r="I18" s="49"/>
      <c r="J18" s="49" t="s">
        <v>654</v>
      </c>
      <c r="K18" s="206"/>
      <c r="L18" s="207"/>
      <c r="M18" s="208"/>
      <c r="O18" s="204" t="s">
        <v>442</v>
      </c>
      <c r="P18" s="47" t="s">
        <v>4</v>
      </c>
      <c r="Q18" s="48" t="s">
        <v>407</v>
      </c>
      <c r="R18" s="48" t="s">
        <v>314</v>
      </c>
      <c r="S18" s="48" t="s">
        <v>314</v>
      </c>
      <c r="T18" s="48" t="s">
        <v>314</v>
      </c>
      <c r="U18" s="48" t="s">
        <v>314</v>
      </c>
      <c r="V18" s="48" t="s">
        <v>314</v>
      </c>
      <c r="W18" s="48"/>
      <c r="X18" s="48" t="s">
        <v>307</v>
      </c>
      <c r="Y18" s="48"/>
      <c r="Z18" s="48"/>
      <c r="AA18" s="48"/>
      <c r="AB18" s="48"/>
      <c r="AC18" s="48" t="s">
        <v>314</v>
      </c>
      <c r="AD18" s="48"/>
      <c r="AE18" s="48"/>
      <c r="AF18" s="209"/>
      <c r="AG18" s="47" t="s">
        <v>315</v>
      </c>
      <c r="AH18" s="210" t="s">
        <v>319</v>
      </c>
      <c r="AI18" s="68" t="s">
        <v>440</v>
      </c>
      <c r="AJ18" s="251">
        <f>558271/123755</f>
        <v>4.5110985414730722</v>
      </c>
      <c r="AK18" s="251">
        <v>4.5</v>
      </c>
      <c r="AL18" s="251">
        <v>4.5</v>
      </c>
      <c r="AM18" s="251">
        <v>4.5</v>
      </c>
      <c r="AN18" s="251">
        <v>4.5</v>
      </c>
      <c r="AO18" s="251">
        <v>4.5</v>
      </c>
      <c r="AP18" s="251">
        <v>4.5</v>
      </c>
      <c r="AQ18" s="251">
        <v>4.5</v>
      </c>
      <c r="AR18" s="251">
        <v>4.5</v>
      </c>
      <c r="AS18" s="251">
        <v>4.5</v>
      </c>
      <c r="AT18" s="251"/>
      <c r="AU18" s="251"/>
      <c r="AV18" s="251">
        <v>4.5</v>
      </c>
      <c r="AW18" s="251">
        <f>+AV18-0.1</f>
        <v>4.4000000000000004</v>
      </c>
      <c r="AX18" s="251">
        <f t="shared" ref="AX18:BD18" si="34">+AW18-0.1</f>
        <v>4.3000000000000007</v>
      </c>
      <c r="AY18" s="251">
        <f t="shared" si="34"/>
        <v>4.2000000000000011</v>
      </c>
      <c r="AZ18" s="251">
        <f t="shared" si="34"/>
        <v>4.1000000000000014</v>
      </c>
      <c r="BA18" s="251">
        <f t="shared" si="34"/>
        <v>4.0000000000000018</v>
      </c>
      <c r="BB18" s="251">
        <f t="shared" si="34"/>
        <v>3.9000000000000017</v>
      </c>
      <c r="BC18" s="251">
        <f t="shared" si="34"/>
        <v>3.8000000000000016</v>
      </c>
      <c r="BD18" s="251">
        <f t="shared" si="34"/>
        <v>3.7000000000000015</v>
      </c>
      <c r="BE18" s="251"/>
      <c r="BF18" s="251"/>
      <c r="BG18" s="206"/>
      <c r="BH18" s="68" t="s">
        <v>349</v>
      </c>
      <c r="BI18" s="48" t="s">
        <v>323</v>
      </c>
      <c r="BJ18" s="252">
        <f>33*13*(1200000*0.5+800000+600000*2*0.5)+20*33*5150+10000*33</f>
        <v>861729000</v>
      </c>
      <c r="BK18" s="212">
        <f>+BJ18*1.05</f>
        <v>904815450</v>
      </c>
      <c r="BL18" s="170">
        <f>+BK18*1.05</f>
        <v>950056222.5</v>
      </c>
      <c r="BM18" s="170">
        <f t="shared" ref="BM18:BS18" si="35">+BL18*1.05</f>
        <v>997559033.625</v>
      </c>
      <c r="BN18" s="170">
        <f t="shared" si="35"/>
        <v>1047436985.3062501</v>
      </c>
      <c r="BO18" s="170">
        <f t="shared" si="35"/>
        <v>1099808834.5715625</v>
      </c>
      <c r="BP18" s="170">
        <f t="shared" si="35"/>
        <v>1154799276.3001406</v>
      </c>
      <c r="BQ18" s="170">
        <f t="shared" si="35"/>
        <v>1212539240.1151476</v>
      </c>
      <c r="BR18" s="170">
        <f t="shared" si="35"/>
        <v>1273166202.1209049</v>
      </c>
      <c r="BS18" s="170">
        <f t="shared" si="35"/>
        <v>1336824512.2269502</v>
      </c>
      <c r="BT18" s="213">
        <f t="shared" si="21"/>
        <v>9977005756.765955</v>
      </c>
      <c r="BU18" s="253">
        <v>1</v>
      </c>
      <c r="BV18" s="48"/>
      <c r="BW18" s="48"/>
      <c r="BX18" s="216"/>
      <c r="BY18" s="212">
        <f>33*13*(1200000*0.5+800000*1.5+600000*2)+36*33*5150+15000*33</f>
        <v>1293613200</v>
      </c>
      <c r="BZ18" s="170">
        <f>+BY18*1.05</f>
        <v>1358293860</v>
      </c>
      <c r="CA18" s="170">
        <f t="shared" si="32"/>
        <v>1426208553</v>
      </c>
      <c r="CB18" s="170">
        <f t="shared" si="32"/>
        <v>1497518980.6500001</v>
      </c>
      <c r="CC18" s="170">
        <f t="shared" si="32"/>
        <v>1572394929.6825001</v>
      </c>
      <c r="CD18" s="170">
        <f t="shared" si="32"/>
        <v>1651014676.1666253</v>
      </c>
      <c r="CE18" s="170">
        <f t="shared" si="32"/>
        <v>1733565409.9749565</v>
      </c>
      <c r="CF18" s="170">
        <f t="shared" si="32"/>
        <v>1820243680.4737043</v>
      </c>
      <c r="CG18" s="213">
        <f t="shared" si="32"/>
        <v>1911255864.4973896</v>
      </c>
      <c r="CH18" s="217">
        <f>+BY18-BK18</f>
        <v>388797750</v>
      </c>
      <c r="CI18" s="217">
        <f t="shared" ref="CI18:CP18" si="36">+BZ18-BL18</f>
        <v>408237637.5</v>
      </c>
      <c r="CJ18" s="217">
        <f t="shared" si="36"/>
        <v>428649519.375</v>
      </c>
      <c r="CK18" s="217">
        <f t="shared" si="36"/>
        <v>450081995.34375</v>
      </c>
      <c r="CL18" s="217">
        <f t="shared" si="36"/>
        <v>472586095.1109376</v>
      </c>
      <c r="CM18" s="217">
        <f t="shared" si="36"/>
        <v>496215399.86648464</v>
      </c>
      <c r="CN18" s="217">
        <f t="shared" si="36"/>
        <v>521026169.85980892</v>
      </c>
      <c r="CO18" s="217">
        <f t="shared" si="36"/>
        <v>547077478.35279942</v>
      </c>
      <c r="CP18" s="217">
        <f t="shared" si="36"/>
        <v>574431352.27043939</v>
      </c>
      <c r="CQ18" s="218">
        <f>SUM(CH18:CP18)</f>
        <v>4287103397.6792202</v>
      </c>
      <c r="CR18" s="219"/>
      <c r="CS18" s="220">
        <v>190000</v>
      </c>
      <c r="CT18" s="220" t="s">
        <v>441</v>
      </c>
      <c r="CU18" s="210"/>
      <c r="CV18" s="210"/>
      <c r="CW18" s="210"/>
      <c r="CX18" s="210"/>
      <c r="CY18" s="221">
        <f>+CQ18-CS18*550</f>
        <v>4182603397.6792202</v>
      </c>
      <c r="CZ18" s="222"/>
      <c r="DA18" s="248"/>
    </row>
    <row r="19" spans="1:105" ht="26.1" customHeight="1" x14ac:dyDescent="0.25">
      <c r="A19" s="143" t="s">
        <v>420</v>
      </c>
      <c r="B19" s="144" t="s">
        <v>675</v>
      </c>
      <c r="C19" s="143" t="s">
        <v>420</v>
      </c>
      <c r="D19" s="144" t="s">
        <v>357</v>
      </c>
      <c r="E19" s="59" t="s">
        <v>4</v>
      </c>
      <c r="F19" s="145"/>
      <c r="G19" s="60"/>
      <c r="H19" s="61"/>
      <c r="I19" s="62"/>
      <c r="J19" s="62"/>
      <c r="K19" s="147" t="s">
        <v>253</v>
      </c>
      <c r="L19" s="148" t="s">
        <v>254</v>
      </c>
      <c r="M19" s="149"/>
      <c r="O19" s="143" t="s">
        <v>420</v>
      </c>
      <c r="P19" s="150"/>
      <c r="Q19" s="145"/>
      <c r="R19" s="145"/>
      <c r="S19" s="145"/>
      <c r="T19" s="145"/>
      <c r="U19" s="145"/>
      <c r="V19" s="145"/>
      <c r="W19" s="145"/>
      <c r="X19" s="145"/>
      <c r="Y19" s="145"/>
      <c r="Z19" s="145"/>
      <c r="AA19" s="145"/>
      <c r="AB19" s="145"/>
      <c r="AC19" s="145"/>
      <c r="AD19" s="145"/>
      <c r="AE19" s="145"/>
      <c r="AF19" s="151"/>
      <c r="AG19" s="150"/>
      <c r="AH19" s="145"/>
      <c r="AI19" s="145"/>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254"/>
      <c r="BG19" s="150"/>
      <c r="BH19" s="154" t="s">
        <v>357</v>
      </c>
      <c r="BI19" s="155"/>
      <c r="BJ19" s="156">
        <f t="shared" ref="BJ19:BS19" si="37">SUM(BJ20)</f>
        <v>0</v>
      </c>
      <c r="BK19" s="157">
        <f t="shared" si="37"/>
        <v>0</v>
      </c>
      <c r="BL19" s="152">
        <f t="shared" si="37"/>
        <v>0</v>
      </c>
      <c r="BM19" s="152">
        <f t="shared" si="37"/>
        <v>0</v>
      </c>
      <c r="BN19" s="152">
        <f t="shared" si="37"/>
        <v>0</v>
      </c>
      <c r="BO19" s="152">
        <f t="shared" si="37"/>
        <v>0</v>
      </c>
      <c r="BP19" s="152">
        <f t="shared" si="37"/>
        <v>0</v>
      </c>
      <c r="BQ19" s="152">
        <f t="shared" si="37"/>
        <v>0</v>
      </c>
      <c r="BR19" s="152">
        <f t="shared" si="37"/>
        <v>0</v>
      </c>
      <c r="BS19" s="152">
        <f t="shared" si="37"/>
        <v>0</v>
      </c>
      <c r="BT19" s="156">
        <f t="shared" ref="BT19:BT26" si="38">SUM(BK19:BS19)</f>
        <v>0</v>
      </c>
      <c r="BU19" s="158"/>
      <c r="BV19" s="145"/>
      <c r="BW19" s="145"/>
      <c r="BX19" s="159"/>
      <c r="BY19" s="157">
        <f t="shared" ref="BY19:CP19" si="39">SUM(BY20)</f>
        <v>13200000</v>
      </c>
      <c r="BZ19" s="152">
        <f t="shared" si="39"/>
        <v>13200000</v>
      </c>
      <c r="CA19" s="152">
        <f t="shared" si="39"/>
        <v>13200000</v>
      </c>
      <c r="CB19" s="152">
        <f t="shared" si="39"/>
        <v>13200000</v>
      </c>
      <c r="CC19" s="152">
        <f t="shared" si="39"/>
        <v>0</v>
      </c>
      <c r="CD19" s="152">
        <f t="shared" si="39"/>
        <v>0</v>
      </c>
      <c r="CE19" s="152">
        <f t="shared" si="39"/>
        <v>0</v>
      </c>
      <c r="CF19" s="152">
        <f t="shared" si="39"/>
        <v>0</v>
      </c>
      <c r="CG19" s="156">
        <f t="shared" si="39"/>
        <v>0</v>
      </c>
      <c r="CH19" s="157">
        <f t="shared" si="39"/>
        <v>13200000</v>
      </c>
      <c r="CI19" s="152">
        <f t="shared" si="39"/>
        <v>13200000</v>
      </c>
      <c r="CJ19" s="152">
        <f t="shared" si="39"/>
        <v>13200000</v>
      </c>
      <c r="CK19" s="152">
        <f t="shared" si="39"/>
        <v>13200000</v>
      </c>
      <c r="CL19" s="152">
        <f t="shared" si="39"/>
        <v>0</v>
      </c>
      <c r="CM19" s="152">
        <f t="shared" si="39"/>
        <v>0</v>
      </c>
      <c r="CN19" s="152">
        <f t="shared" si="39"/>
        <v>0</v>
      </c>
      <c r="CO19" s="152">
        <f t="shared" si="39"/>
        <v>0</v>
      </c>
      <c r="CP19" s="152">
        <f t="shared" si="39"/>
        <v>0</v>
      </c>
      <c r="CQ19" s="156">
        <f t="shared" si="18"/>
        <v>52800000</v>
      </c>
      <c r="CR19" s="158"/>
      <c r="CS19" s="160">
        <f>SUM(CS20)</f>
        <v>0</v>
      </c>
      <c r="CT19" s="145"/>
      <c r="CU19" s="145"/>
      <c r="CV19" s="145"/>
      <c r="CW19" s="145"/>
      <c r="CX19" s="145"/>
      <c r="CY19" s="161">
        <f>SUM(CY20)</f>
        <v>52800000</v>
      </c>
      <c r="CZ19" s="151"/>
      <c r="DA19" s="162"/>
    </row>
    <row r="20" spans="1:105" ht="26.1" customHeight="1" x14ac:dyDescent="0.25">
      <c r="A20" s="204" t="s">
        <v>17</v>
      </c>
      <c r="B20" s="205" t="s">
        <v>676</v>
      </c>
      <c r="C20" s="204" t="s">
        <v>17</v>
      </c>
      <c r="D20" s="205" t="s">
        <v>357</v>
      </c>
      <c r="E20" s="47" t="s">
        <v>4</v>
      </c>
      <c r="F20" s="50" t="s">
        <v>403</v>
      </c>
      <c r="G20" s="424" t="s">
        <v>393</v>
      </c>
      <c r="H20" s="48" t="s">
        <v>102</v>
      </c>
      <c r="I20" s="49"/>
      <c r="J20" s="49" t="s">
        <v>233</v>
      </c>
      <c r="K20" s="206"/>
      <c r="L20" s="207"/>
      <c r="M20" s="208"/>
      <c r="O20" s="204" t="s">
        <v>17</v>
      </c>
      <c r="P20" s="47" t="s">
        <v>2</v>
      </c>
      <c r="Q20" s="48" t="s">
        <v>403</v>
      </c>
      <c r="R20" s="48"/>
      <c r="S20" s="48" t="s">
        <v>314</v>
      </c>
      <c r="T20" s="48" t="s">
        <v>314</v>
      </c>
      <c r="U20" s="48"/>
      <c r="V20" s="48" t="s">
        <v>314</v>
      </c>
      <c r="W20" s="48"/>
      <c r="X20" s="48" t="s">
        <v>307</v>
      </c>
      <c r="Y20" s="48"/>
      <c r="Z20" s="48"/>
      <c r="AA20" s="48"/>
      <c r="AB20" s="48"/>
      <c r="AC20" s="48" t="s">
        <v>314</v>
      </c>
      <c r="AD20" s="48"/>
      <c r="AE20" s="48"/>
      <c r="AF20" s="209"/>
      <c r="AG20" s="47" t="s">
        <v>315</v>
      </c>
      <c r="AH20" s="210" t="s">
        <v>319</v>
      </c>
      <c r="AI20" s="256" t="s">
        <v>443</v>
      </c>
      <c r="AJ20" s="170"/>
      <c r="AK20" s="170">
        <v>0</v>
      </c>
      <c r="AL20" s="170">
        <v>0</v>
      </c>
      <c r="AM20" s="170">
        <v>0</v>
      </c>
      <c r="AN20" s="170">
        <v>0</v>
      </c>
      <c r="AO20" s="170">
        <v>0</v>
      </c>
      <c r="AP20" s="170">
        <v>0</v>
      </c>
      <c r="AQ20" s="170">
        <v>0</v>
      </c>
      <c r="AR20" s="170">
        <v>0</v>
      </c>
      <c r="AS20" s="170">
        <v>0</v>
      </c>
      <c r="AT20" s="170"/>
      <c r="AU20" s="170"/>
      <c r="AV20" s="170">
        <v>1</v>
      </c>
      <c r="AW20" s="170">
        <v>1</v>
      </c>
      <c r="AX20" s="170">
        <v>1</v>
      </c>
      <c r="AY20" s="170">
        <v>1</v>
      </c>
      <c r="AZ20" s="170">
        <v>0</v>
      </c>
      <c r="BA20" s="170">
        <v>0</v>
      </c>
      <c r="BB20" s="170">
        <v>0</v>
      </c>
      <c r="BC20" s="170">
        <v>0</v>
      </c>
      <c r="BD20" s="170">
        <v>0</v>
      </c>
      <c r="BE20" s="170"/>
      <c r="BF20" s="170"/>
      <c r="BG20" s="206" t="s">
        <v>4</v>
      </c>
      <c r="BH20" s="257" t="s">
        <v>349</v>
      </c>
      <c r="BI20" s="48" t="s">
        <v>313</v>
      </c>
      <c r="BJ20" s="211"/>
      <c r="BK20" s="212">
        <v>0</v>
      </c>
      <c r="BL20" s="170">
        <v>0</v>
      </c>
      <c r="BM20" s="170">
        <v>0</v>
      </c>
      <c r="BN20" s="170">
        <v>0</v>
      </c>
      <c r="BO20" s="170">
        <v>0</v>
      </c>
      <c r="BP20" s="170">
        <v>0</v>
      </c>
      <c r="BQ20" s="170">
        <v>0</v>
      </c>
      <c r="BR20" s="170">
        <v>0</v>
      </c>
      <c r="BS20" s="170">
        <v>0</v>
      </c>
      <c r="BT20" s="213">
        <f t="shared" si="38"/>
        <v>0</v>
      </c>
      <c r="BU20" s="214"/>
      <c r="BV20" s="48"/>
      <c r="BW20" s="48"/>
      <c r="BX20" s="216"/>
      <c r="BY20" s="212">
        <f>+AV20*24000*550</f>
        <v>13200000</v>
      </c>
      <c r="BZ20" s="170">
        <f>+AW20*24000*550</f>
        <v>13200000</v>
      </c>
      <c r="CA20" s="170">
        <f>+AX20*24000*550</f>
        <v>13200000</v>
      </c>
      <c r="CB20" s="170">
        <f>+AY20*24000*550</f>
        <v>13200000</v>
      </c>
      <c r="CC20" s="170">
        <v>0</v>
      </c>
      <c r="CD20" s="170">
        <v>0</v>
      </c>
      <c r="CE20" s="170">
        <v>0</v>
      </c>
      <c r="CF20" s="170">
        <v>0</v>
      </c>
      <c r="CG20" s="213">
        <v>0</v>
      </c>
      <c r="CH20" s="217">
        <f>+BY20-BK20</f>
        <v>13200000</v>
      </c>
      <c r="CI20" s="170">
        <f>+BZ20-BL20</f>
        <v>13200000</v>
      </c>
      <c r="CJ20" s="170">
        <f t="shared" ref="CJ20:CP20" si="40">+CA20-BM20</f>
        <v>13200000</v>
      </c>
      <c r="CK20" s="170">
        <f t="shared" si="40"/>
        <v>13200000</v>
      </c>
      <c r="CL20" s="170">
        <f t="shared" si="40"/>
        <v>0</v>
      </c>
      <c r="CM20" s="170">
        <f t="shared" si="40"/>
        <v>0</v>
      </c>
      <c r="CN20" s="170">
        <f t="shared" si="40"/>
        <v>0</v>
      </c>
      <c r="CO20" s="170">
        <f t="shared" si="40"/>
        <v>0</v>
      </c>
      <c r="CP20" s="170">
        <f t="shared" si="40"/>
        <v>0</v>
      </c>
      <c r="CQ20" s="218">
        <f>SUM(CH20:CP20)</f>
        <v>52800000</v>
      </c>
      <c r="CR20" s="219"/>
      <c r="CS20" s="220"/>
      <c r="CT20" s="220"/>
      <c r="CU20" s="210"/>
      <c r="CV20" s="210"/>
      <c r="CW20" s="210"/>
      <c r="CX20" s="210"/>
      <c r="CY20" s="221">
        <f>+CQ20-CS20*550</f>
        <v>52800000</v>
      </c>
      <c r="CZ20" s="222"/>
      <c r="DA20" s="258"/>
    </row>
    <row r="21" spans="1:105" ht="26.1" customHeight="1" x14ac:dyDescent="0.25">
      <c r="A21" s="143" t="s">
        <v>18</v>
      </c>
      <c r="B21" s="144" t="s">
        <v>677</v>
      </c>
      <c r="C21" s="143" t="s">
        <v>18</v>
      </c>
      <c r="D21" s="144" t="s">
        <v>357</v>
      </c>
      <c r="E21" s="59" t="s">
        <v>6</v>
      </c>
      <c r="F21" s="145"/>
      <c r="G21" s="60"/>
      <c r="H21" s="61"/>
      <c r="I21" s="62"/>
      <c r="J21" s="62"/>
      <c r="K21" s="147" t="s">
        <v>253</v>
      </c>
      <c r="L21" s="148"/>
      <c r="M21" s="149"/>
      <c r="O21" s="143" t="s">
        <v>18</v>
      </c>
      <c r="P21" s="150"/>
      <c r="Q21" s="145"/>
      <c r="R21" s="145"/>
      <c r="S21" s="145"/>
      <c r="T21" s="145"/>
      <c r="U21" s="145"/>
      <c r="V21" s="145"/>
      <c r="W21" s="145"/>
      <c r="X21" s="145"/>
      <c r="Y21" s="145"/>
      <c r="Z21" s="145"/>
      <c r="AA21" s="145"/>
      <c r="AB21" s="145"/>
      <c r="AC21" s="145"/>
      <c r="AD21" s="145"/>
      <c r="AE21" s="145"/>
      <c r="AF21" s="151"/>
      <c r="AG21" s="150"/>
      <c r="AH21" s="145"/>
      <c r="AI21" s="145"/>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254"/>
      <c r="BG21" s="150"/>
      <c r="BH21" s="154" t="s">
        <v>357</v>
      </c>
      <c r="BI21" s="155"/>
      <c r="BJ21" s="156">
        <f t="shared" ref="BJ21:BS21" si="41">SUM(BJ22)</f>
        <v>0</v>
      </c>
      <c r="BK21" s="157">
        <f t="shared" si="41"/>
        <v>0</v>
      </c>
      <c r="BL21" s="152">
        <f t="shared" si="41"/>
        <v>0</v>
      </c>
      <c r="BM21" s="152">
        <f t="shared" si="41"/>
        <v>0</v>
      </c>
      <c r="BN21" s="152">
        <f t="shared" si="41"/>
        <v>0</v>
      </c>
      <c r="BO21" s="152">
        <f t="shared" si="41"/>
        <v>0</v>
      </c>
      <c r="BP21" s="152">
        <f t="shared" si="41"/>
        <v>0</v>
      </c>
      <c r="BQ21" s="152">
        <f t="shared" si="41"/>
        <v>0</v>
      </c>
      <c r="BR21" s="152">
        <f t="shared" si="41"/>
        <v>0</v>
      </c>
      <c r="BS21" s="152">
        <f t="shared" si="41"/>
        <v>0</v>
      </c>
      <c r="BT21" s="156">
        <f t="shared" si="38"/>
        <v>0</v>
      </c>
      <c r="BU21" s="158"/>
      <c r="BV21" s="145"/>
      <c r="BW21" s="145"/>
      <c r="BX21" s="159"/>
      <c r="BY21" s="157">
        <f t="shared" ref="BY21:CP21" si="42">SUM(BY22)</f>
        <v>110000000</v>
      </c>
      <c r="BZ21" s="152">
        <f t="shared" si="42"/>
        <v>0</v>
      </c>
      <c r="CA21" s="152">
        <f t="shared" si="42"/>
        <v>0</v>
      </c>
      <c r="CB21" s="152">
        <f t="shared" si="42"/>
        <v>0</v>
      </c>
      <c r="CC21" s="152">
        <f t="shared" si="42"/>
        <v>0</v>
      </c>
      <c r="CD21" s="152">
        <f t="shared" si="42"/>
        <v>0</v>
      </c>
      <c r="CE21" s="152">
        <f t="shared" si="42"/>
        <v>0</v>
      </c>
      <c r="CF21" s="152">
        <f t="shared" si="42"/>
        <v>0</v>
      </c>
      <c r="CG21" s="156">
        <f t="shared" si="42"/>
        <v>0</v>
      </c>
      <c r="CH21" s="157">
        <f t="shared" si="42"/>
        <v>110000000</v>
      </c>
      <c r="CI21" s="152">
        <f t="shared" si="42"/>
        <v>0</v>
      </c>
      <c r="CJ21" s="152">
        <f t="shared" si="42"/>
        <v>0</v>
      </c>
      <c r="CK21" s="152">
        <f t="shared" si="42"/>
        <v>0</v>
      </c>
      <c r="CL21" s="152">
        <f t="shared" si="42"/>
        <v>0</v>
      </c>
      <c r="CM21" s="152">
        <f t="shared" si="42"/>
        <v>0</v>
      </c>
      <c r="CN21" s="152">
        <f t="shared" si="42"/>
        <v>0</v>
      </c>
      <c r="CO21" s="152">
        <f t="shared" si="42"/>
        <v>0</v>
      </c>
      <c r="CP21" s="152">
        <f t="shared" si="42"/>
        <v>0</v>
      </c>
      <c r="CQ21" s="156">
        <f t="shared" si="18"/>
        <v>110000000</v>
      </c>
      <c r="CR21" s="158"/>
      <c r="CS21" s="160">
        <f>SUM(CS22)</f>
        <v>200000</v>
      </c>
      <c r="CT21" s="145"/>
      <c r="CU21" s="145"/>
      <c r="CV21" s="145"/>
      <c r="CW21" s="145"/>
      <c r="CX21" s="145"/>
      <c r="CY21" s="161">
        <f>SUM(CY22)</f>
        <v>0</v>
      </c>
      <c r="CZ21" s="151"/>
      <c r="DA21" s="162"/>
    </row>
    <row r="22" spans="1:105" ht="26.1" customHeight="1" x14ac:dyDescent="0.25">
      <c r="A22" s="204" t="s">
        <v>19</v>
      </c>
      <c r="B22" s="205" t="s">
        <v>678</v>
      </c>
      <c r="C22" s="204" t="s">
        <v>19</v>
      </c>
      <c r="D22" s="205" t="s">
        <v>357</v>
      </c>
      <c r="E22" s="47" t="s">
        <v>492</v>
      </c>
      <c r="F22" s="48" t="s">
        <v>403</v>
      </c>
      <c r="G22" s="48" t="s">
        <v>393</v>
      </c>
      <c r="H22" s="50" t="s">
        <v>105</v>
      </c>
      <c r="I22" s="49" t="s">
        <v>245</v>
      </c>
      <c r="J22" s="49" t="s">
        <v>231</v>
      </c>
      <c r="K22" s="206"/>
      <c r="L22" s="207"/>
      <c r="M22" s="208"/>
      <c r="O22" s="204" t="s">
        <v>19</v>
      </c>
      <c r="P22" s="47" t="s">
        <v>413</v>
      </c>
      <c r="Q22" s="48" t="s">
        <v>403</v>
      </c>
      <c r="R22" s="50" t="s">
        <v>314</v>
      </c>
      <c r="S22" s="50" t="s">
        <v>314</v>
      </c>
      <c r="T22" s="50" t="s">
        <v>314</v>
      </c>
      <c r="U22" s="50"/>
      <c r="V22" s="50"/>
      <c r="W22" s="50"/>
      <c r="X22" s="50" t="s">
        <v>307</v>
      </c>
      <c r="Y22" s="50" t="s">
        <v>314</v>
      </c>
      <c r="Z22" s="50" t="s">
        <v>314</v>
      </c>
      <c r="AA22" s="50"/>
      <c r="AB22" s="50"/>
      <c r="AC22" s="50" t="s">
        <v>314</v>
      </c>
      <c r="AD22" s="50" t="s">
        <v>314</v>
      </c>
      <c r="AE22" s="50"/>
      <c r="AF22" s="259"/>
      <c r="AG22" s="47" t="s">
        <v>315</v>
      </c>
      <c r="AH22" s="210" t="s">
        <v>339</v>
      </c>
      <c r="AI22" s="68" t="s">
        <v>340</v>
      </c>
      <c r="AJ22" s="170"/>
      <c r="AK22" s="170">
        <v>0</v>
      </c>
      <c r="AL22" s="170">
        <v>0</v>
      </c>
      <c r="AM22" s="170">
        <v>0</v>
      </c>
      <c r="AN22" s="170">
        <v>0</v>
      </c>
      <c r="AO22" s="170">
        <v>0</v>
      </c>
      <c r="AP22" s="170">
        <v>0</v>
      </c>
      <c r="AQ22" s="170">
        <v>0</v>
      </c>
      <c r="AR22" s="170">
        <v>0</v>
      </c>
      <c r="AS22" s="170">
        <v>0</v>
      </c>
      <c r="AT22" s="170"/>
      <c r="AU22" s="170"/>
      <c r="AV22" s="170"/>
      <c r="AW22" s="170">
        <v>2</v>
      </c>
      <c r="AX22" s="170">
        <v>0</v>
      </c>
      <c r="AY22" s="170">
        <v>0</v>
      </c>
      <c r="AZ22" s="170">
        <v>0</v>
      </c>
      <c r="BA22" s="170">
        <v>0</v>
      </c>
      <c r="BB22" s="170">
        <v>0</v>
      </c>
      <c r="BC22" s="170">
        <v>0</v>
      </c>
      <c r="BD22" s="170">
        <v>0</v>
      </c>
      <c r="BE22" s="170"/>
      <c r="BF22" s="260"/>
      <c r="BG22" s="206" t="s">
        <v>311</v>
      </c>
      <c r="BH22" s="68" t="s">
        <v>349</v>
      </c>
      <c r="BI22" s="48" t="s">
        <v>313</v>
      </c>
      <c r="BJ22" s="241"/>
      <c r="BK22" s="212">
        <v>0</v>
      </c>
      <c r="BL22" s="170">
        <v>0</v>
      </c>
      <c r="BM22" s="170">
        <v>0</v>
      </c>
      <c r="BN22" s="170">
        <v>0</v>
      </c>
      <c r="BO22" s="170">
        <v>0</v>
      </c>
      <c r="BP22" s="170">
        <v>0</v>
      </c>
      <c r="BQ22" s="170">
        <v>0</v>
      </c>
      <c r="BR22" s="170">
        <v>0</v>
      </c>
      <c r="BS22" s="170">
        <v>0</v>
      </c>
      <c r="BT22" s="213">
        <f t="shared" si="38"/>
        <v>0</v>
      </c>
      <c r="BU22" s="245"/>
      <c r="BV22" s="48"/>
      <c r="BW22" s="48"/>
      <c r="BX22" s="243"/>
      <c r="BY22" s="212">
        <f>200000*550</f>
        <v>110000000</v>
      </c>
      <c r="BZ22" s="170"/>
      <c r="CA22" s="170"/>
      <c r="CB22" s="170"/>
      <c r="CC22" s="170"/>
      <c r="CD22" s="170"/>
      <c r="CE22" s="170"/>
      <c r="CF22" s="170"/>
      <c r="CG22" s="213"/>
      <c r="CH22" s="217">
        <f t="shared" ref="CH22:CP22" si="43">+BY22-BK22</f>
        <v>110000000</v>
      </c>
      <c r="CI22" s="170">
        <f t="shared" si="43"/>
        <v>0</v>
      </c>
      <c r="CJ22" s="170">
        <f t="shared" si="43"/>
        <v>0</v>
      </c>
      <c r="CK22" s="170">
        <f t="shared" si="43"/>
        <v>0</v>
      </c>
      <c r="CL22" s="170">
        <f t="shared" si="43"/>
        <v>0</v>
      </c>
      <c r="CM22" s="170">
        <f t="shared" si="43"/>
        <v>0</v>
      </c>
      <c r="CN22" s="170">
        <f t="shared" si="43"/>
        <v>0</v>
      </c>
      <c r="CO22" s="170">
        <f t="shared" si="43"/>
        <v>0</v>
      </c>
      <c r="CP22" s="170">
        <f t="shared" si="43"/>
        <v>0</v>
      </c>
      <c r="CQ22" s="218">
        <f>SUM(CH22:CP22)</f>
        <v>110000000</v>
      </c>
      <c r="CR22" s="219"/>
      <c r="CS22" s="220">
        <v>200000</v>
      </c>
      <c r="CT22" s="220" t="s">
        <v>421</v>
      </c>
      <c r="CU22" s="210"/>
      <c r="CV22" s="210"/>
      <c r="CW22" s="210"/>
      <c r="CX22" s="210"/>
      <c r="CY22" s="221">
        <f>+CH22-CS22*550</f>
        <v>0</v>
      </c>
      <c r="CZ22" s="222"/>
      <c r="DA22" s="246"/>
    </row>
    <row r="23" spans="1:105" ht="26.1" customHeight="1" x14ac:dyDescent="0.25">
      <c r="A23" s="143" t="s">
        <v>20</v>
      </c>
      <c r="B23" s="144" t="s">
        <v>679</v>
      </c>
      <c r="C23" s="143" t="s">
        <v>20</v>
      </c>
      <c r="D23" s="144" t="s">
        <v>355</v>
      </c>
      <c r="E23" s="59" t="s">
        <v>5</v>
      </c>
      <c r="F23" s="145"/>
      <c r="G23" s="60"/>
      <c r="H23" s="61"/>
      <c r="I23" s="62"/>
      <c r="J23" s="62"/>
      <c r="K23" s="147" t="s">
        <v>253</v>
      </c>
      <c r="L23" s="148" t="s">
        <v>254</v>
      </c>
      <c r="M23" s="149"/>
      <c r="O23" s="143" t="s">
        <v>20</v>
      </c>
      <c r="P23" s="150"/>
      <c r="Q23" s="145"/>
      <c r="R23" s="145"/>
      <c r="S23" s="145"/>
      <c r="T23" s="145"/>
      <c r="U23" s="145"/>
      <c r="V23" s="145"/>
      <c r="W23" s="145"/>
      <c r="X23" s="145"/>
      <c r="Y23" s="145"/>
      <c r="Z23" s="145"/>
      <c r="AA23" s="145"/>
      <c r="AB23" s="145"/>
      <c r="AC23" s="145"/>
      <c r="AD23" s="145"/>
      <c r="AE23" s="145"/>
      <c r="AF23" s="151"/>
      <c r="AG23" s="150"/>
      <c r="AH23" s="145"/>
      <c r="AI23" s="145"/>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254"/>
      <c r="BG23" s="150"/>
      <c r="BH23" s="154" t="s">
        <v>355</v>
      </c>
      <c r="BI23" s="155"/>
      <c r="BJ23" s="156">
        <f t="shared" ref="BJ23:BS23" si="44">SUM(BJ24)</f>
        <v>0</v>
      </c>
      <c r="BK23" s="157">
        <f t="shared" si="44"/>
        <v>252000</v>
      </c>
      <c r="BL23" s="152">
        <f t="shared" si="44"/>
        <v>1260000</v>
      </c>
      <c r="BM23" s="152">
        <f t="shared" si="44"/>
        <v>1260000</v>
      </c>
      <c r="BN23" s="152">
        <f t="shared" si="44"/>
        <v>1260000</v>
      </c>
      <c r="BO23" s="152">
        <f t="shared" si="44"/>
        <v>1260000</v>
      </c>
      <c r="BP23" s="152">
        <f t="shared" si="44"/>
        <v>1260000</v>
      </c>
      <c r="BQ23" s="152">
        <f t="shared" si="44"/>
        <v>1260000</v>
      </c>
      <c r="BR23" s="152">
        <f t="shared" si="44"/>
        <v>1260000</v>
      </c>
      <c r="BS23" s="152">
        <f t="shared" si="44"/>
        <v>1260000</v>
      </c>
      <c r="BT23" s="156">
        <f t="shared" si="38"/>
        <v>10332000</v>
      </c>
      <c r="BU23" s="158"/>
      <c r="BV23" s="145"/>
      <c r="BW23" s="145"/>
      <c r="BX23" s="159"/>
      <c r="BY23" s="157">
        <f>SUM(BY24)</f>
        <v>3402000</v>
      </c>
      <c r="BZ23" s="152">
        <f>SUM(BZ24)</f>
        <v>6300000</v>
      </c>
      <c r="CA23" s="152">
        <f t="shared" ref="CA23:CF23" si="45">SUM(CA24)</f>
        <v>6300000</v>
      </c>
      <c r="CB23" s="152">
        <f t="shared" si="45"/>
        <v>6300000</v>
      </c>
      <c r="CC23" s="152">
        <f t="shared" si="45"/>
        <v>6300000</v>
      </c>
      <c r="CD23" s="152">
        <f t="shared" si="45"/>
        <v>6300000</v>
      </c>
      <c r="CE23" s="152">
        <f t="shared" si="45"/>
        <v>6300000</v>
      </c>
      <c r="CF23" s="152">
        <f t="shared" si="45"/>
        <v>6300000</v>
      </c>
      <c r="CG23" s="156">
        <f>SUM(CG24)</f>
        <v>6300000</v>
      </c>
      <c r="CH23" s="157">
        <f>SUM(CH24)</f>
        <v>3150000</v>
      </c>
      <c r="CI23" s="152">
        <f>SUM(CI24)</f>
        <v>5040000</v>
      </c>
      <c r="CJ23" s="152">
        <f t="shared" ref="CJ23:CP23" si="46">SUM(CJ24)</f>
        <v>5040000</v>
      </c>
      <c r="CK23" s="152">
        <f t="shared" si="46"/>
        <v>5040000</v>
      </c>
      <c r="CL23" s="152">
        <f t="shared" si="46"/>
        <v>5040000</v>
      </c>
      <c r="CM23" s="152">
        <f t="shared" si="46"/>
        <v>5040000</v>
      </c>
      <c r="CN23" s="152">
        <f t="shared" si="46"/>
        <v>5040000</v>
      </c>
      <c r="CO23" s="152">
        <f t="shared" si="46"/>
        <v>5040000</v>
      </c>
      <c r="CP23" s="152">
        <f t="shared" si="46"/>
        <v>5040000</v>
      </c>
      <c r="CQ23" s="156">
        <f>SUM(CH23:CP23)</f>
        <v>43470000</v>
      </c>
      <c r="CR23" s="158"/>
      <c r="CS23" s="160">
        <f>SUM(CS24)</f>
        <v>0</v>
      </c>
      <c r="CT23" s="145"/>
      <c r="CU23" s="145"/>
      <c r="CV23" s="145"/>
      <c r="CW23" s="145"/>
      <c r="CX23" s="145"/>
      <c r="CY23" s="161">
        <f>SUM(CY24)</f>
        <v>43470000</v>
      </c>
      <c r="CZ23" s="151"/>
      <c r="DA23" s="162"/>
    </row>
    <row r="24" spans="1:105" ht="26.1" customHeight="1" x14ac:dyDescent="0.25">
      <c r="A24" s="204" t="s">
        <v>21</v>
      </c>
      <c r="B24" s="205" t="s">
        <v>680</v>
      </c>
      <c r="C24" s="261" t="s">
        <v>380</v>
      </c>
      <c r="D24" s="205" t="s">
        <v>355</v>
      </c>
      <c r="E24" s="47" t="s">
        <v>5</v>
      </c>
      <c r="F24" s="48" t="s">
        <v>402</v>
      </c>
      <c r="G24" s="48" t="s">
        <v>373</v>
      </c>
      <c r="H24" s="48" t="s">
        <v>106</v>
      </c>
      <c r="I24" s="49" t="s">
        <v>217</v>
      </c>
      <c r="J24" s="49" t="s">
        <v>242</v>
      </c>
      <c r="K24" s="206"/>
      <c r="L24" s="207"/>
      <c r="M24" s="208"/>
      <c r="O24" s="261" t="s">
        <v>380</v>
      </c>
      <c r="P24" s="47" t="s">
        <v>5</v>
      </c>
      <c r="Q24" s="48" t="s">
        <v>402</v>
      </c>
      <c r="R24" s="48" t="s">
        <v>314</v>
      </c>
      <c r="S24" s="48" t="s">
        <v>314</v>
      </c>
      <c r="T24" s="48" t="s">
        <v>314</v>
      </c>
      <c r="U24" s="48"/>
      <c r="V24" s="48" t="s">
        <v>314</v>
      </c>
      <c r="W24" s="48"/>
      <c r="X24" s="48" t="s">
        <v>314</v>
      </c>
      <c r="Y24" s="48"/>
      <c r="Z24" s="48"/>
      <c r="AA24" s="48"/>
      <c r="AB24" s="48"/>
      <c r="AC24" s="48" t="s">
        <v>307</v>
      </c>
      <c r="AD24" s="48"/>
      <c r="AE24" s="48"/>
      <c r="AF24" s="209"/>
      <c r="AG24" s="47" t="s">
        <v>315</v>
      </c>
      <c r="AH24" s="210" t="s">
        <v>319</v>
      </c>
      <c r="AI24" s="68" t="s">
        <v>381</v>
      </c>
      <c r="AJ24" s="170">
        <v>98</v>
      </c>
      <c r="AK24" s="170">
        <v>100</v>
      </c>
      <c r="AL24" s="170">
        <f>+AK24+10</f>
        <v>110</v>
      </c>
      <c r="AM24" s="170">
        <f>+AL24+10</f>
        <v>120</v>
      </c>
      <c r="AN24" s="170">
        <f t="shared" ref="AN24:AS24" si="47">+AM24+10</f>
        <v>130</v>
      </c>
      <c r="AO24" s="170">
        <f t="shared" si="47"/>
        <v>140</v>
      </c>
      <c r="AP24" s="170">
        <f t="shared" si="47"/>
        <v>150</v>
      </c>
      <c r="AQ24" s="170">
        <f t="shared" si="47"/>
        <v>160</v>
      </c>
      <c r="AR24" s="170">
        <f t="shared" si="47"/>
        <v>170</v>
      </c>
      <c r="AS24" s="170">
        <f t="shared" si="47"/>
        <v>180</v>
      </c>
      <c r="AT24" s="170"/>
      <c r="AU24" s="170"/>
      <c r="AV24" s="170">
        <v>125</v>
      </c>
      <c r="AW24" s="170">
        <f>+AV24+50</f>
        <v>175</v>
      </c>
      <c r="AX24" s="170">
        <f t="shared" ref="AX24:BD24" si="48">+AW24+50</f>
        <v>225</v>
      </c>
      <c r="AY24" s="170">
        <f t="shared" si="48"/>
        <v>275</v>
      </c>
      <c r="AZ24" s="170">
        <f t="shared" si="48"/>
        <v>325</v>
      </c>
      <c r="BA24" s="170">
        <f t="shared" si="48"/>
        <v>375</v>
      </c>
      <c r="BB24" s="170">
        <f t="shared" si="48"/>
        <v>425</v>
      </c>
      <c r="BC24" s="170">
        <f t="shared" si="48"/>
        <v>475</v>
      </c>
      <c r="BD24" s="170">
        <f t="shared" si="48"/>
        <v>525</v>
      </c>
      <c r="BE24" s="170"/>
      <c r="BF24" s="260"/>
      <c r="BG24" s="206" t="s">
        <v>5</v>
      </c>
      <c r="BH24" s="68" t="s">
        <v>312</v>
      </c>
      <c r="BI24" s="48" t="s">
        <v>313</v>
      </c>
      <c r="BJ24" s="241"/>
      <c r="BK24" s="212">
        <f>126000*2</f>
        <v>252000</v>
      </c>
      <c r="BL24" s="170">
        <f>10*126000</f>
        <v>1260000</v>
      </c>
      <c r="BM24" s="170">
        <f t="shared" ref="BM24:BS24" si="49">10*126000</f>
        <v>1260000</v>
      </c>
      <c r="BN24" s="170">
        <f t="shared" si="49"/>
        <v>1260000</v>
      </c>
      <c r="BO24" s="170">
        <f t="shared" si="49"/>
        <v>1260000</v>
      </c>
      <c r="BP24" s="170">
        <f t="shared" si="49"/>
        <v>1260000</v>
      </c>
      <c r="BQ24" s="170">
        <f t="shared" si="49"/>
        <v>1260000</v>
      </c>
      <c r="BR24" s="170">
        <f t="shared" si="49"/>
        <v>1260000</v>
      </c>
      <c r="BS24" s="170">
        <f t="shared" si="49"/>
        <v>1260000</v>
      </c>
      <c r="BT24" s="213">
        <f t="shared" si="38"/>
        <v>10332000</v>
      </c>
      <c r="BU24" s="262">
        <v>1</v>
      </c>
      <c r="BV24" s="170"/>
      <c r="BW24" s="170"/>
      <c r="BX24" s="213"/>
      <c r="BY24" s="212">
        <f>27*126000</f>
        <v>3402000</v>
      </c>
      <c r="BZ24" s="170">
        <f>50*126000</f>
        <v>6300000</v>
      </c>
      <c r="CA24" s="170">
        <f t="shared" ref="CA24:CG24" si="50">50*126000</f>
        <v>6300000</v>
      </c>
      <c r="CB24" s="170">
        <f t="shared" si="50"/>
        <v>6300000</v>
      </c>
      <c r="CC24" s="170">
        <f t="shared" si="50"/>
        <v>6300000</v>
      </c>
      <c r="CD24" s="170">
        <f t="shared" si="50"/>
        <v>6300000</v>
      </c>
      <c r="CE24" s="170">
        <f t="shared" si="50"/>
        <v>6300000</v>
      </c>
      <c r="CF24" s="170">
        <f t="shared" si="50"/>
        <v>6300000</v>
      </c>
      <c r="CG24" s="170">
        <f t="shared" si="50"/>
        <v>6300000</v>
      </c>
      <c r="CH24" s="212">
        <f>+BY24-BK24</f>
        <v>3150000</v>
      </c>
      <c r="CI24" s="170">
        <f>+BZ24-BL24</f>
        <v>5040000</v>
      </c>
      <c r="CJ24" s="170">
        <f t="shared" ref="CJ24:CP24" si="51">+CA24-BM24</f>
        <v>5040000</v>
      </c>
      <c r="CK24" s="170">
        <f t="shared" si="51"/>
        <v>5040000</v>
      </c>
      <c r="CL24" s="170">
        <f t="shared" si="51"/>
        <v>5040000</v>
      </c>
      <c r="CM24" s="170">
        <f t="shared" si="51"/>
        <v>5040000</v>
      </c>
      <c r="CN24" s="170">
        <f t="shared" si="51"/>
        <v>5040000</v>
      </c>
      <c r="CO24" s="170">
        <f t="shared" si="51"/>
        <v>5040000</v>
      </c>
      <c r="CP24" s="170">
        <f t="shared" si="51"/>
        <v>5040000</v>
      </c>
      <c r="CQ24" s="213">
        <f t="shared" ref="CQ24:CQ30" si="52">SUM(CH24:CP24)</f>
        <v>43470000</v>
      </c>
      <c r="CR24" s="219"/>
      <c r="CS24" s="220"/>
      <c r="CT24" s="220"/>
      <c r="CU24" s="210"/>
      <c r="CV24" s="210"/>
      <c r="CW24" s="210"/>
      <c r="CX24" s="210"/>
      <c r="CY24" s="221">
        <f>+CQ24-CS24*550</f>
        <v>43470000</v>
      </c>
      <c r="CZ24" s="222"/>
      <c r="DA24" s="246" t="s">
        <v>382</v>
      </c>
    </row>
    <row r="25" spans="1:105" ht="26.1" customHeight="1" x14ac:dyDescent="0.25">
      <c r="A25" s="123" t="s">
        <v>22</v>
      </c>
      <c r="B25" s="124" t="s">
        <v>681</v>
      </c>
      <c r="C25" s="123" t="s">
        <v>22</v>
      </c>
      <c r="D25" s="124"/>
      <c r="E25" s="55"/>
      <c r="F25" s="126"/>
      <c r="G25" s="56"/>
      <c r="H25" s="56"/>
      <c r="I25" s="57"/>
      <c r="J25" s="57"/>
      <c r="K25" s="128"/>
      <c r="L25" s="129"/>
      <c r="M25" s="130"/>
      <c r="O25" s="123" t="s">
        <v>22</v>
      </c>
      <c r="P25" s="131"/>
      <c r="Q25" s="126"/>
      <c r="R25" s="126"/>
      <c r="S25" s="126"/>
      <c r="T25" s="126"/>
      <c r="U25" s="126"/>
      <c r="V25" s="126"/>
      <c r="W25" s="126"/>
      <c r="X25" s="126"/>
      <c r="Y25" s="126"/>
      <c r="Z25" s="126"/>
      <c r="AA25" s="126"/>
      <c r="AB25" s="126"/>
      <c r="AC25" s="126"/>
      <c r="AD25" s="126"/>
      <c r="AE25" s="126"/>
      <c r="AF25" s="132"/>
      <c r="AG25" s="131"/>
      <c r="AH25" s="126"/>
      <c r="AI25" s="126"/>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263"/>
      <c r="BG25" s="131"/>
      <c r="BH25" s="126"/>
      <c r="BI25" s="134"/>
      <c r="BJ25" s="135">
        <f>+BJ26+BJ30+BJ32</f>
        <v>3466388403.6100001</v>
      </c>
      <c r="BK25" s="136">
        <f>+BK26+BK30+BK32</f>
        <v>5822869035.0100002</v>
      </c>
      <c r="BL25" s="133">
        <f>+BL26+BL30+BL32</f>
        <v>4995608086.7605</v>
      </c>
      <c r="BM25" s="133">
        <f t="shared" ref="BM25:BS25" si="53">+BM26+BM30+BM32</f>
        <v>4861585381.0985241</v>
      </c>
      <c r="BN25" s="133">
        <f t="shared" si="53"/>
        <v>5076598300.153451</v>
      </c>
      <c r="BO25" s="133">
        <f t="shared" si="53"/>
        <v>5278021625.1611233</v>
      </c>
      <c r="BP25" s="133">
        <f t="shared" si="53"/>
        <v>5466523876.4191799</v>
      </c>
      <c r="BQ25" s="133">
        <f t="shared" si="53"/>
        <v>5801238300.240139</v>
      </c>
      <c r="BR25" s="133">
        <f t="shared" si="53"/>
        <v>5957613905.2521458</v>
      </c>
      <c r="BS25" s="133">
        <f t="shared" si="53"/>
        <v>6323396550.5147533</v>
      </c>
      <c r="BT25" s="137">
        <f t="shared" si="38"/>
        <v>49583455060.609825</v>
      </c>
      <c r="BU25" s="138"/>
      <c r="BV25" s="126"/>
      <c r="BW25" s="126"/>
      <c r="BX25" s="139"/>
      <c r="BY25" s="136">
        <f t="shared" ref="BY25:CP25" si="54">+BY26+BY30+BY32</f>
        <v>6144552338.5109997</v>
      </c>
      <c r="BZ25" s="133">
        <f t="shared" si="54"/>
        <v>5792870169.0715504</v>
      </c>
      <c r="CA25" s="133">
        <f t="shared" si="54"/>
        <v>5734318174.5236273</v>
      </c>
      <c r="CB25" s="133">
        <f t="shared" si="54"/>
        <v>6326596315.5981588</v>
      </c>
      <c r="CC25" s="133">
        <f t="shared" si="54"/>
        <v>6884848182.9062519</v>
      </c>
      <c r="CD25" s="133">
        <f t="shared" si="54"/>
        <v>7283254294.2325687</v>
      </c>
      <c r="CE25" s="133">
        <f t="shared" si="54"/>
        <v>7802686450.0433006</v>
      </c>
      <c r="CF25" s="133">
        <f t="shared" si="54"/>
        <v>8476762629.4544802</v>
      </c>
      <c r="CG25" s="133">
        <f t="shared" si="54"/>
        <v>9411809774.0271187</v>
      </c>
      <c r="CH25" s="136">
        <f t="shared" si="54"/>
        <v>321683303.50099981</v>
      </c>
      <c r="CI25" s="133">
        <f t="shared" si="54"/>
        <v>797262082.31104994</v>
      </c>
      <c r="CJ25" s="133">
        <f t="shared" si="54"/>
        <v>872732793.42510271</v>
      </c>
      <c r="CK25" s="133">
        <f t="shared" si="54"/>
        <v>1249998015.4447081</v>
      </c>
      <c r="CL25" s="133">
        <f t="shared" si="54"/>
        <v>1606826557.7451286</v>
      </c>
      <c r="CM25" s="133">
        <f t="shared" si="54"/>
        <v>1816730417.8133888</v>
      </c>
      <c r="CN25" s="133">
        <f t="shared" si="54"/>
        <v>2001448149.8031621</v>
      </c>
      <c r="CO25" s="133">
        <f t="shared" si="54"/>
        <v>2519148724.2023344</v>
      </c>
      <c r="CP25" s="133">
        <f t="shared" si="54"/>
        <v>3088413223.5123663</v>
      </c>
      <c r="CQ25" s="137">
        <f t="shared" si="52"/>
        <v>14274243267.758244</v>
      </c>
      <c r="CR25" s="138"/>
      <c r="CS25" s="140">
        <f>+CS26+CS30+CS32</f>
        <v>419000</v>
      </c>
      <c r="CT25" s="126"/>
      <c r="CU25" s="126"/>
      <c r="CV25" s="126"/>
      <c r="CW25" s="126"/>
      <c r="CX25" s="126"/>
      <c r="CY25" s="141">
        <f>+CY26+CY30+CY32</f>
        <v>14043793267.75824</v>
      </c>
      <c r="CZ25" s="132"/>
      <c r="DA25" s="142"/>
    </row>
    <row r="26" spans="1:105" ht="26.1" customHeight="1" x14ac:dyDescent="0.25">
      <c r="A26" s="143" t="s">
        <v>23</v>
      </c>
      <c r="B26" s="154" t="s">
        <v>682</v>
      </c>
      <c r="C26" s="143" t="s">
        <v>23</v>
      </c>
      <c r="D26" s="154" t="s">
        <v>355</v>
      </c>
      <c r="E26" s="59" t="s">
        <v>4</v>
      </c>
      <c r="F26" s="145"/>
      <c r="G26" s="60"/>
      <c r="H26" s="60"/>
      <c r="I26" s="62"/>
      <c r="J26" s="62"/>
      <c r="K26" s="147" t="s">
        <v>256</v>
      </c>
      <c r="L26" s="148" t="s">
        <v>258</v>
      </c>
      <c r="M26" s="149"/>
      <c r="O26" s="143" t="s">
        <v>23</v>
      </c>
      <c r="P26" s="150"/>
      <c r="Q26" s="145"/>
      <c r="R26" s="145"/>
      <c r="S26" s="145"/>
      <c r="T26" s="145"/>
      <c r="U26" s="145"/>
      <c r="V26" s="145"/>
      <c r="W26" s="145"/>
      <c r="X26" s="145"/>
      <c r="Y26" s="145"/>
      <c r="Z26" s="145"/>
      <c r="AA26" s="145"/>
      <c r="AB26" s="145"/>
      <c r="AC26" s="145"/>
      <c r="AD26" s="145"/>
      <c r="AE26" s="145"/>
      <c r="AF26" s="151"/>
      <c r="AG26" s="150"/>
      <c r="AH26" s="145"/>
      <c r="AI26" s="145"/>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254"/>
      <c r="BG26" s="150"/>
      <c r="BH26" s="154" t="s">
        <v>355</v>
      </c>
      <c r="BI26" s="155"/>
      <c r="BJ26" s="156">
        <f t="shared" ref="BJ26:BS26" si="55">SUM(BJ27:BJ29)</f>
        <v>25238400</v>
      </c>
      <c r="BK26" s="157">
        <f t="shared" si="55"/>
        <v>56564000</v>
      </c>
      <c r="BL26" s="152">
        <f t="shared" si="55"/>
        <v>62255400</v>
      </c>
      <c r="BM26" s="152">
        <f t="shared" si="55"/>
        <v>68165400</v>
      </c>
      <c r="BN26" s="152">
        <f t="shared" si="55"/>
        <v>101715400</v>
      </c>
      <c r="BO26" s="152">
        <f t="shared" si="55"/>
        <v>69985400</v>
      </c>
      <c r="BP26" s="152">
        <f t="shared" si="55"/>
        <v>78079400</v>
      </c>
      <c r="BQ26" s="152">
        <f t="shared" si="55"/>
        <v>120445400</v>
      </c>
      <c r="BR26" s="152">
        <f t="shared" si="55"/>
        <v>88625400</v>
      </c>
      <c r="BS26" s="152">
        <f t="shared" si="55"/>
        <v>137135400</v>
      </c>
      <c r="BT26" s="156">
        <f t="shared" si="38"/>
        <v>782971200</v>
      </c>
      <c r="BU26" s="158"/>
      <c r="BV26" s="145"/>
      <c r="BW26" s="145"/>
      <c r="BX26" s="159"/>
      <c r="BY26" s="157">
        <f t="shared" ref="BY26:CP26" si="56">SUM(BY27:BY29)</f>
        <v>97806800</v>
      </c>
      <c r="BZ26" s="152">
        <f t="shared" si="56"/>
        <v>108166940</v>
      </c>
      <c r="CA26" s="152">
        <f t="shared" si="56"/>
        <v>118166940</v>
      </c>
      <c r="CB26" s="152">
        <f t="shared" si="56"/>
        <v>159782940</v>
      </c>
      <c r="CC26" s="152">
        <f t="shared" si="56"/>
        <v>118712940</v>
      </c>
      <c r="CD26" s="152">
        <f t="shared" si="56"/>
        <v>128712940</v>
      </c>
      <c r="CE26" s="152">
        <f t="shared" si="56"/>
        <v>186240940</v>
      </c>
      <c r="CF26" s="152">
        <f t="shared" si="56"/>
        <v>149622940</v>
      </c>
      <c r="CG26" s="156">
        <f t="shared" si="56"/>
        <v>217622940</v>
      </c>
      <c r="CH26" s="157">
        <f t="shared" si="56"/>
        <v>41242800</v>
      </c>
      <c r="CI26" s="152">
        <f t="shared" si="56"/>
        <v>45911540</v>
      </c>
      <c r="CJ26" s="152">
        <f t="shared" si="56"/>
        <v>50001540</v>
      </c>
      <c r="CK26" s="152">
        <f t="shared" si="56"/>
        <v>58067540</v>
      </c>
      <c r="CL26" s="152">
        <f t="shared" si="56"/>
        <v>48727540</v>
      </c>
      <c r="CM26" s="152">
        <f t="shared" si="56"/>
        <v>50633540</v>
      </c>
      <c r="CN26" s="152">
        <f t="shared" si="56"/>
        <v>65795540</v>
      </c>
      <c r="CO26" s="152">
        <f t="shared" si="56"/>
        <v>60997540</v>
      </c>
      <c r="CP26" s="152">
        <f t="shared" si="56"/>
        <v>80487540</v>
      </c>
      <c r="CQ26" s="156">
        <f t="shared" si="52"/>
        <v>501865120</v>
      </c>
      <c r="CR26" s="158"/>
      <c r="CS26" s="160">
        <f>SUM(CS27:CS29)</f>
        <v>229000</v>
      </c>
      <c r="CT26" s="145"/>
      <c r="CU26" s="145"/>
      <c r="CV26" s="145"/>
      <c r="CW26" s="145"/>
      <c r="CX26" s="145"/>
      <c r="CY26" s="152">
        <f>SUM(CY27:CY29)</f>
        <v>375915120</v>
      </c>
      <c r="CZ26" s="151"/>
      <c r="DA26" s="162"/>
    </row>
    <row r="27" spans="1:105" ht="26.1" customHeight="1" x14ac:dyDescent="0.25">
      <c r="A27" s="264" t="s">
        <v>24</v>
      </c>
      <c r="B27" s="275" t="s">
        <v>683</v>
      </c>
      <c r="C27" s="237" t="s">
        <v>390</v>
      </c>
      <c r="D27" s="275" t="s">
        <v>355</v>
      </c>
      <c r="E27" s="47" t="s">
        <v>4</v>
      </c>
      <c r="F27" s="48" t="s">
        <v>409</v>
      </c>
      <c r="G27" s="48" t="s">
        <v>25</v>
      </c>
      <c r="H27" s="94" t="s">
        <v>474</v>
      </c>
      <c r="I27" s="49" t="s">
        <v>216</v>
      </c>
      <c r="J27" s="49" t="s">
        <v>229</v>
      </c>
      <c r="K27" s="206"/>
      <c r="L27" s="207"/>
      <c r="M27" s="208"/>
      <c r="O27" s="237" t="s">
        <v>390</v>
      </c>
      <c r="P27" s="47" t="s">
        <v>4</v>
      </c>
      <c r="Q27" s="48" t="s">
        <v>409</v>
      </c>
      <c r="R27" s="48" t="s">
        <v>314</v>
      </c>
      <c r="S27" s="48" t="s">
        <v>314</v>
      </c>
      <c r="T27" s="48"/>
      <c r="U27" s="48" t="s">
        <v>314</v>
      </c>
      <c r="V27" s="48"/>
      <c r="W27" s="48"/>
      <c r="X27" s="48" t="s">
        <v>307</v>
      </c>
      <c r="Y27" s="48"/>
      <c r="Z27" s="48"/>
      <c r="AA27" s="48"/>
      <c r="AB27" s="48"/>
      <c r="AC27" s="48" t="s">
        <v>314</v>
      </c>
      <c r="AD27" s="48"/>
      <c r="AE27" s="48" t="s">
        <v>314</v>
      </c>
      <c r="AF27" s="208"/>
      <c r="AG27" s="47" t="s">
        <v>315</v>
      </c>
      <c r="AH27" s="266" t="s">
        <v>319</v>
      </c>
      <c r="AI27" s="68" t="s">
        <v>322</v>
      </c>
      <c r="AJ27" s="170"/>
      <c r="AK27" s="170">
        <v>1</v>
      </c>
      <c r="AL27" s="170">
        <v>1</v>
      </c>
      <c r="AM27" s="170">
        <v>1</v>
      </c>
      <c r="AN27" s="170">
        <v>1</v>
      </c>
      <c r="AO27" s="170">
        <v>1</v>
      </c>
      <c r="AP27" s="170">
        <v>1</v>
      </c>
      <c r="AQ27" s="170">
        <v>1</v>
      </c>
      <c r="AR27" s="170">
        <v>1</v>
      </c>
      <c r="AS27" s="170">
        <v>1</v>
      </c>
      <c r="AT27" s="170"/>
      <c r="AU27" s="170"/>
      <c r="AV27" s="170">
        <v>1</v>
      </c>
      <c r="AW27" s="170">
        <v>1</v>
      </c>
      <c r="AX27" s="170">
        <v>1</v>
      </c>
      <c r="AY27" s="170">
        <v>1</v>
      </c>
      <c r="AZ27" s="170">
        <v>1</v>
      </c>
      <c r="BA27" s="170">
        <v>1</v>
      </c>
      <c r="BB27" s="170">
        <v>1</v>
      </c>
      <c r="BC27" s="170">
        <v>1</v>
      </c>
      <c r="BD27" s="170">
        <v>1</v>
      </c>
      <c r="BE27" s="170"/>
      <c r="BF27" s="260"/>
      <c r="BG27" s="268" t="s">
        <v>4</v>
      </c>
      <c r="BH27" s="68" t="s">
        <v>312</v>
      </c>
      <c r="BI27" s="48" t="s">
        <v>323</v>
      </c>
      <c r="BJ27" s="269">
        <v>20000000</v>
      </c>
      <c r="BK27" s="212">
        <v>20000000</v>
      </c>
      <c r="BL27" s="170">
        <v>25000000</v>
      </c>
      <c r="BM27" s="170">
        <v>30000000</v>
      </c>
      <c r="BN27" s="170">
        <v>30000000</v>
      </c>
      <c r="BO27" s="170">
        <v>30000000</v>
      </c>
      <c r="BP27" s="170">
        <v>35000000</v>
      </c>
      <c r="BQ27" s="170">
        <v>35000000</v>
      </c>
      <c r="BR27" s="170">
        <v>45000000</v>
      </c>
      <c r="BS27" s="170">
        <v>45000000</v>
      </c>
      <c r="BT27" s="213">
        <f t="shared" ref="BT27:BT35" si="57">SUM(BK27:BS27)</f>
        <v>295000000</v>
      </c>
      <c r="BU27" s="270">
        <v>1</v>
      </c>
      <c r="BV27" s="48" t="s">
        <v>324</v>
      </c>
      <c r="BW27" s="48"/>
      <c r="BX27" s="243"/>
      <c r="BY27" s="212">
        <f>+BK27*2</f>
        <v>40000000</v>
      </c>
      <c r="BZ27" s="170">
        <f t="shared" ref="BZ27:CG27" si="58">+BL27*2</f>
        <v>50000000</v>
      </c>
      <c r="CA27" s="170">
        <f t="shared" si="58"/>
        <v>60000000</v>
      </c>
      <c r="CB27" s="170">
        <f t="shared" si="58"/>
        <v>60000000</v>
      </c>
      <c r="CC27" s="170">
        <f t="shared" si="58"/>
        <v>60000000</v>
      </c>
      <c r="CD27" s="170">
        <f t="shared" si="58"/>
        <v>70000000</v>
      </c>
      <c r="CE27" s="170">
        <f t="shared" si="58"/>
        <v>70000000</v>
      </c>
      <c r="CF27" s="170">
        <f t="shared" si="58"/>
        <v>90000000</v>
      </c>
      <c r="CG27" s="213">
        <f t="shared" si="58"/>
        <v>90000000</v>
      </c>
      <c r="CH27" s="212">
        <f>+BY27-BK27</f>
        <v>20000000</v>
      </c>
      <c r="CI27" s="170">
        <f t="shared" ref="CI27:CP28" si="59">+BZ27-BL27</f>
        <v>25000000</v>
      </c>
      <c r="CJ27" s="170">
        <f t="shared" si="59"/>
        <v>30000000</v>
      </c>
      <c r="CK27" s="170">
        <f t="shared" si="59"/>
        <v>30000000</v>
      </c>
      <c r="CL27" s="170">
        <f t="shared" si="59"/>
        <v>30000000</v>
      </c>
      <c r="CM27" s="170">
        <f t="shared" si="59"/>
        <v>35000000</v>
      </c>
      <c r="CN27" s="170">
        <f t="shared" si="59"/>
        <v>35000000</v>
      </c>
      <c r="CO27" s="170">
        <f t="shared" si="59"/>
        <v>45000000</v>
      </c>
      <c r="CP27" s="170">
        <f t="shared" si="59"/>
        <v>45000000</v>
      </c>
      <c r="CQ27" s="213">
        <f t="shared" si="52"/>
        <v>295000000</v>
      </c>
      <c r="CR27" s="219"/>
      <c r="CS27" s="220"/>
      <c r="CT27" s="220"/>
      <c r="CU27" s="210"/>
      <c r="CV27" s="210"/>
      <c r="CW27" s="210"/>
      <c r="CX27" s="210"/>
      <c r="CY27" s="221">
        <f>+CQ27-CS27*550</f>
        <v>295000000</v>
      </c>
      <c r="CZ27" s="222"/>
      <c r="DA27" s="271"/>
    </row>
    <row r="28" spans="1:105" ht="26.1" customHeight="1" x14ac:dyDescent="0.25">
      <c r="A28" s="184"/>
      <c r="B28" s="185" t="s">
        <v>684</v>
      </c>
      <c r="C28" s="237" t="s">
        <v>391</v>
      </c>
      <c r="D28" s="185" t="s">
        <v>355</v>
      </c>
      <c r="E28" s="440" t="s">
        <v>4</v>
      </c>
      <c r="F28" s="441" t="s">
        <v>409</v>
      </c>
      <c r="G28" s="441" t="s">
        <v>25</v>
      </c>
      <c r="H28" s="442" t="s">
        <v>474</v>
      </c>
      <c r="I28" s="49" t="s">
        <v>216</v>
      </c>
      <c r="J28" s="49" t="s">
        <v>229</v>
      </c>
      <c r="K28" s="206"/>
      <c r="L28" s="207"/>
      <c r="M28" s="208"/>
      <c r="O28" s="237" t="s">
        <v>391</v>
      </c>
      <c r="P28" s="47" t="s">
        <v>4</v>
      </c>
      <c r="Q28" s="48" t="s">
        <v>409</v>
      </c>
      <c r="R28" s="48" t="s">
        <v>314</v>
      </c>
      <c r="S28" s="48"/>
      <c r="T28" s="48"/>
      <c r="U28" s="48"/>
      <c r="V28" s="48"/>
      <c r="W28" s="48"/>
      <c r="X28" s="48" t="s">
        <v>307</v>
      </c>
      <c r="Y28" s="48"/>
      <c r="Z28" s="48"/>
      <c r="AA28" s="48"/>
      <c r="AB28" s="48"/>
      <c r="AC28" s="48" t="s">
        <v>314</v>
      </c>
      <c r="AD28" s="48"/>
      <c r="AE28" s="48" t="s">
        <v>314</v>
      </c>
      <c r="AF28" s="208"/>
      <c r="AG28" s="47" t="s">
        <v>315</v>
      </c>
      <c r="AH28" s="266" t="s">
        <v>319</v>
      </c>
      <c r="AI28" s="68" t="s">
        <v>325</v>
      </c>
      <c r="AJ28" s="170">
        <v>72</v>
      </c>
      <c r="AK28" s="170">
        <v>38</v>
      </c>
      <c r="AL28" s="170">
        <v>40</v>
      </c>
      <c r="AM28" s="170">
        <v>45</v>
      </c>
      <c r="AN28" s="170">
        <v>50</v>
      </c>
      <c r="AO28" s="170">
        <v>55</v>
      </c>
      <c r="AP28" s="170">
        <v>72</v>
      </c>
      <c r="AQ28" s="170">
        <v>75</v>
      </c>
      <c r="AR28" s="170">
        <v>75</v>
      </c>
      <c r="AS28" s="170">
        <v>80</v>
      </c>
      <c r="AT28" s="170">
        <v>90</v>
      </c>
      <c r="AU28" s="170">
        <v>100</v>
      </c>
      <c r="AV28" s="170">
        <v>72</v>
      </c>
      <c r="AW28" s="170">
        <v>72</v>
      </c>
      <c r="AX28" s="170">
        <v>72</v>
      </c>
      <c r="AY28" s="170">
        <v>72</v>
      </c>
      <c r="AZ28" s="170">
        <v>75</v>
      </c>
      <c r="BA28" s="170">
        <v>75</v>
      </c>
      <c r="BB28" s="170">
        <v>75</v>
      </c>
      <c r="BC28" s="170">
        <v>80</v>
      </c>
      <c r="BD28" s="170">
        <v>80</v>
      </c>
      <c r="BE28" s="170">
        <v>90</v>
      </c>
      <c r="BF28" s="260">
        <v>100</v>
      </c>
      <c r="BG28" s="268"/>
      <c r="BH28" s="68" t="s">
        <v>312</v>
      </c>
      <c r="BI28" s="48" t="s">
        <v>323</v>
      </c>
      <c r="BJ28" s="241"/>
      <c r="BK28" s="212">
        <f>182000*AK28+15000000+45*180000</f>
        <v>30016000</v>
      </c>
      <c r="BL28" s="170">
        <f t="shared" ref="BL28:BR28" si="60">182000*AL28+15000000+45*180000</f>
        <v>30380000</v>
      </c>
      <c r="BM28" s="170">
        <f t="shared" si="60"/>
        <v>31290000</v>
      </c>
      <c r="BN28" s="170">
        <f>182000*AN28+15000000+45*180000+68000*480</f>
        <v>64840000</v>
      </c>
      <c r="BO28" s="170">
        <f t="shared" si="60"/>
        <v>33110000</v>
      </c>
      <c r="BP28" s="170">
        <f t="shared" si="60"/>
        <v>36204000</v>
      </c>
      <c r="BQ28" s="170">
        <f>182000*AQ28+15000000+45*180000+68000*615</f>
        <v>78570000</v>
      </c>
      <c r="BR28" s="170">
        <f t="shared" si="60"/>
        <v>36750000</v>
      </c>
      <c r="BS28" s="170">
        <f>182000*AS28+15000000+45*180000+68000*700</f>
        <v>85260000</v>
      </c>
      <c r="BT28" s="213">
        <f t="shared" si="57"/>
        <v>426420000</v>
      </c>
      <c r="BU28" s="242">
        <v>1</v>
      </c>
      <c r="BV28" s="48"/>
      <c r="BW28" s="48"/>
      <c r="BX28" s="243"/>
      <c r="BY28" s="212">
        <f>182000*AV28+37500000</f>
        <v>50604000</v>
      </c>
      <c r="BZ28" s="170">
        <f t="shared" ref="BZ28:CF28" si="61">182000*AW28+37500000</f>
        <v>50604000</v>
      </c>
      <c r="CA28" s="170">
        <f t="shared" si="61"/>
        <v>50604000</v>
      </c>
      <c r="CB28" s="170">
        <f>182000*AY28+37500000+68000*612</f>
        <v>92220000</v>
      </c>
      <c r="CC28" s="170">
        <f t="shared" si="61"/>
        <v>51150000</v>
      </c>
      <c r="CD28" s="170">
        <f t="shared" si="61"/>
        <v>51150000</v>
      </c>
      <c r="CE28" s="170">
        <f>182000*BB28+37500000+68000*846</f>
        <v>108678000</v>
      </c>
      <c r="CF28" s="170">
        <f t="shared" si="61"/>
        <v>52060000</v>
      </c>
      <c r="CG28" s="213">
        <f>182000*BD28+37500000+68000*1000</f>
        <v>120060000</v>
      </c>
      <c r="CH28" s="212">
        <f>+BY28-BK28</f>
        <v>20588000</v>
      </c>
      <c r="CI28" s="170">
        <f t="shared" si="59"/>
        <v>20224000</v>
      </c>
      <c r="CJ28" s="170">
        <f t="shared" si="59"/>
        <v>19314000</v>
      </c>
      <c r="CK28" s="170">
        <f t="shared" si="59"/>
        <v>27380000</v>
      </c>
      <c r="CL28" s="170">
        <f t="shared" si="59"/>
        <v>18040000</v>
      </c>
      <c r="CM28" s="170">
        <f t="shared" si="59"/>
        <v>14946000</v>
      </c>
      <c r="CN28" s="170">
        <f t="shared" si="59"/>
        <v>30108000</v>
      </c>
      <c r="CO28" s="170">
        <f t="shared" si="59"/>
        <v>15310000</v>
      </c>
      <c r="CP28" s="170">
        <f t="shared" si="59"/>
        <v>34800000</v>
      </c>
      <c r="CQ28" s="213">
        <f t="shared" si="52"/>
        <v>200710000</v>
      </c>
      <c r="CR28" s="219"/>
      <c r="CS28" s="220">
        <f>60000+169000</f>
        <v>229000</v>
      </c>
      <c r="CT28" s="220" t="s">
        <v>360</v>
      </c>
      <c r="CU28" s="210"/>
      <c r="CV28" s="210"/>
      <c r="CW28" s="210"/>
      <c r="CX28" s="210"/>
      <c r="CY28" s="221">
        <f>+CQ28-CS28*550</f>
        <v>74760000</v>
      </c>
      <c r="CZ28" s="222"/>
      <c r="DA28" s="271"/>
    </row>
    <row r="29" spans="1:105" ht="26.1" customHeight="1" x14ac:dyDescent="0.25">
      <c r="A29" s="204" t="s">
        <v>26</v>
      </c>
      <c r="B29" s="205" t="s">
        <v>685</v>
      </c>
      <c r="C29" s="204" t="s">
        <v>361</v>
      </c>
      <c r="D29" s="205" t="s">
        <v>355</v>
      </c>
      <c r="E29" s="47" t="s">
        <v>4</v>
      </c>
      <c r="F29" s="48" t="s">
        <v>407</v>
      </c>
      <c r="G29" s="48" t="s">
        <v>395</v>
      </c>
      <c r="H29" s="50" t="s">
        <v>660</v>
      </c>
      <c r="I29" s="49" t="s">
        <v>246</v>
      </c>
      <c r="J29" s="49" t="s">
        <v>229</v>
      </c>
      <c r="K29" s="206"/>
      <c r="L29" s="207"/>
      <c r="M29" s="208"/>
      <c r="O29" s="204" t="s">
        <v>361</v>
      </c>
      <c r="P29" s="47" t="s">
        <v>4</v>
      </c>
      <c r="Q29" s="48" t="s">
        <v>407</v>
      </c>
      <c r="R29" s="50" t="s">
        <v>314</v>
      </c>
      <c r="S29" s="50"/>
      <c r="T29" s="48" t="s">
        <v>314</v>
      </c>
      <c r="U29" s="50"/>
      <c r="V29" s="50"/>
      <c r="W29" s="50"/>
      <c r="X29" s="50" t="s">
        <v>307</v>
      </c>
      <c r="Y29" s="50"/>
      <c r="Z29" s="50"/>
      <c r="AA29" s="50" t="s">
        <v>314</v>
      </c>
      <c r="AB29" s="50"/>
      <c r="AC29" s="50"/>
      <c r="AD29" s="50" t="s">
        <v>314</v>
      </c>
      <c r="AE29" s="50"/>
      <c r="AF29" s="259"/>
      <c r="AG29" s="47" t="s">
        <v>308</v>
      </c>
      <c r="AH29" s="210" t="s">
        <v>309</v>
      </c>
      <c r="AI29" s="68" t="s">
        <v>370</v>
      </c>
      <c r="AJ29" s="170">
        <v>10</v>
      </c>
      <c r="AK29" s="170">
        <v>15</v>
      </c>
      <c r="AL29" s="170">
        <v>15</v>
      </c>
      <c r="AM29" s="170">
        <v>20</v>
      </c>
      <c r="AN29" s="170">
        <v>20</v>
      </c>
      <c r="AO29" s="170">
        <v>20</v>
      </c>
      <c r="AP29" s="170">
        <v>20</v>
      </c>
      <c r="AQ29" s="170">
        <v>20</v>
      </c>
      <c r="AR29" s="170">
        <v>20</v>
      </c>
      <c r="AS29" s="170">
        <v>20</v>
      </c>
      <c r="AT29" s="170">
        <v>20</v>
      </c>
      <c r="AU29" s="170">
        <v>20</v>
      </c>
      <c r="AV29" s="170">
        <v>50</v>
      </c>
      <c r="AW29" s="272">
        <v>60</v>
      </c>
      <c r="AX29" s="272">
        <v>70</v>
      </c>
      <c r="AY29" s="272">
        <v>80</v>
      </c>
      <c r="AZ29" s="272">
        <v>90</v>
      </c>
      <c r="BA29" s="272">
        <v>95</v>
      </c>
      <c r="BB29" s="272">
        <v>95</v>
      </c>
      <c r="BC29" s="272">
        <v>95</v>
      </c>
      <c r="BD29" s="272">
        <v>95</v>
      </c>
      <c r="BE29" s="272">
        <v>95</v>
      </c>
      <c r="BF29" s="260">
        <v>95</v>
      </c>
      <c r="BG29" s="206" t="s">
        <v>4</v>
      </c>
      <c r="BH29" s="68" t="s">
        <v>312</v>
      </c>
      <c r="BI29" s="48" t="s">
        <v>323</v>
      </c>
      <c r="BJ29" s="273">
        <f>BK29-(BK29*0.2)</f>
        <v>5238400</v>
      </c>
      <c r="BK29" s="212">
        <v>6548000</v>
      </c>
      <c r="BL29" s="170">
        <v>6875400</v>
      </c>
      <c r="BM29" s="170">
        <v>6875400</v>
      </c>
      <c r="BN29" s="170">
        <v>6875400</v>
      </c>
      <c r="BO29" s="170">
        <v>6875400</v>
      </c>
      <c r="BP29" s="170">
        <v>6875400</v>
      </c>
      <c r="BQ29" s="170">
        <v>6875400</v>
      </c>
      <c r="BR29" s="170">
        <v>6875400</v>
      </c>
      <c r="BS29" s="170">
        <v>6875400</v>
      </c>
      <c r="BT29" s="213">
        <f t="shared" si="57"/>
        <v>61551200</v>
      </c>
      <c r="BU29" s="274">
        <v>1</v>
      </c>
      <c r="BV29" s="170">
        <v>0.1</v>
      </c>
      <c r="BW29" s="170">
        <v>0</v>
      </c>
      <c r="BX29" s="213"/>
      <c r="BY29" s="212">
        <v>7202800</v>
      </c>
      <c r="BZ29" s="170">
        <v>7562940</v>
      </c>
      <c r="CA29" s="170">
        <v>7562940</v>
      </c>
      <c r="CB29" s="170">
        <v>7562940</v>
      </c>
      <c r="CC29" s="170">
        <v>7562940</v>
      </c>
      <c r="CD29" s="170">
        <v>7562940</v>
      </c>
      <c r="CE29" s="170">
        <v>7562940</v>
      </c>
      <c r="CF29" s="170">
        <v>7562940</v>
      </c>
      <c r="CG29" s="213">
        <v>7562940</v>
      </c>
      <c r="CH29" s="212">
        <f>BY29-BK29</f>
        <v>654800</v>
      </c>
      <c r="CI29" s="170">
        <f t="shared" ref="CI29:CP29" si="62">BZ29-BL29</f>
        <v>687540</v>
      </c>
      <c r="CJ29" s="170">
        <f t="shared" si="62"/>
        <v>687540</v>
      </c>
      <c r="CK29" s="170">
        <f t="shared" si="62"/>
        <v>687540</v>
      </c>
      <c r="CL29" s="170">
        <f t="shared" si="62"/>
        <v>687540</v>
      </c>
      <c r="CM29" s="170">
        <f t="shared" si="62"/>
        <v>687540</v>
      </c>
      <c r="CN29" s="170">
        <f t="shared" si="62"/>
        <v>687540</v>
      </c>
      <c r="CO29" s="170">
        <f t="shared" si="62"/>
        <v>687540</v>
      </c>
      <c r="CP29" s="170">
        <f t="shared" si="62"/>
        <v>687540</v>
      </c>
      <c r="CQ29" s="213">
        <f t="shared" si="52"/>
        <v>6155120</v>
      </c>
      <c r="CR29" s="219"/>
      <c r="CS29" s="220"/>
      <c r="CT29" s="220"/>
      <c r="CU29" s="210"/>
      <c r="CV29" s="210"/>
      <c r="CW29" s="210"/>
      <c r="CX29" s="210"/>
      <c r="CY29" s="221">
        <f>+CQ29-CS29*550</f>
        <v>6155120</v>
      </c>
      <c r="CZ29" s="222"/>
      <c r="DA29" s="246"/>
    </row>
    <row r="30" spans="1:105" ht="26.1" customHeight="1" x14ac:dyDescent="0.25">
      <c r="A30" s="143" t="s">
        <v>27</v>
      </c>
      <c r="B30" s="144" t="s">
        <v>686</v>
      </c>
      <c r="C30" s="143" t="s">
        <v>27</v>
      </c>
      <c r="D30" s="144" t="s">
        <v>357</v>
      </c>
      <c r="E30" s="59" t="s">
        <v>4</v>
      </c>
      <c r="F30" s="145"/>
      <c r="G30" s="60"/>
      <c r="H30" s="61"/>
      <c r="I30" s="62"/>
      <c r="J30" s="62"/>
      <c r="K30" s="147" t="s">
        <v>256</v>
      </c>
      <c r="L30" s="148" t="s">
        <v>258</v>
      </c>
      <c r="M30" s="149"/>
      <c r="O30" s="143" t="s">
        <v>27</v>
      </c>
      <c r="P30" s="150"/>
      <c r="Q30" s="145"/>
      <c r="R30" s="145"/>
      <c r="S30" s="145"/>
      <c r="T30" s="145"/>
      <c r="U30" s="145"/>
      <c r="V30" s="145"/>
      <c r="W30" s="145"/>
      <c r="X30" s="145"/>
      <c r="Y30" s="145"/>
      <c r="Z30" s="145"/>
      <c r="AA30" s="145"/>
      <c r="AB30" s="145"/>
      <c r="AC30" s="145"/>
      <c r="AD30" s="145"/>
      <c r="AE30" s="145"/>
      <c r="AF30" s="151"/>
      <c r="AG30" s="150"/>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51"/>
      <c r="BG30" s="150"/>
      <c r="BH30" s="154" t="s">
        <v>357</v>
      </c>
      <c r="BI30" s="155"/>
      <c r="BJ30" s="156">
        <f t="shared" ref="BJ30:BS30" si="63">SUM(BJ31)</f>
        <v>0</v>
      </c>
      <c r="BK30" s="157">
        <f t="shared" si="63"/>
        <v>1736900000</v>
      </c>
      <c r="BL30" s="152">
        <f t="shared" si="63"/>
        <v>767900000</v>
      </c>
      <c r="BM30" s="152">
        <f t="shared" si="63"/>
        <v>469400000</v>
      </c>
      <c r="BN30" s="152">
        <f t="shared" si="63"/>
        <v>484400000</v>
      </c>
      <c r="BO30" s="152">
        <f t="shared" si="63"/>
        <v>542800000</v>
      </c>
      <c r="BP30" s="152">
        <f t="shared" si="63"/>
        <v>521000000</v>
      </c>
      <c r="BQ30" s="152">
        <f t="shared" si="63"/>
        <v>639500000</v>
      </c>
      <c r="BR30" s="152">
        <f t="shared" si="63"/>
        <v>625500000</v>
      </c>
      <c r="BS30" s="152">
        <f t="shared" si="63"/>
        <v>730500000</v>
      </c>
      <c r="BT30" s="156">
        <f t="shared" si="57"/>
        <v>6517900000</v>
      </c>
      <c r="BU30" s="158"/>
      <c r="BV30" s="145"/>
      <c r="BW30" s="145"/>
      <c r="BX30" s="159"/>
      <c r="BY30" s="157">
        <f t="shared" ref="BY30:CP30" si="64">SUM(BY31)</f>
        <v>1708400000</v>
      </c>
      <c r="BZ30" s="152">
        <f t="shared" si="64"/>
        <v>1041400000</v>
      </c>
      <c r="CA30" s="152">
        <f t="shared" si="64"/>
        <v>612899999</v>
      </c>
      <c r="CB30" s="152">
        <f t="shared" si="64"/>
        <v>767900000</v>
      </c>
      <c r="CC30" s="152">
        <f t="shared" si="64"/>
        <v>932300000</v>
      </c>
      <c r="CD30" s="152">
        <f t="shared" si="64"/>
        <v>814500000</v>
      </c>
      <c r="CE30" s="152">
        <f t="shared" si="64"/>
        <v>779000000</v>
      </c>
      <c r="CF30" s="152">
        <f t="shared" si="64"/>
        <v>912000000</v>
      </c>
      <c r="CG30" s="156">
        <f t="shared" si="64"/>
        <v>1144000001</v>
      </c>
      <c r="CH30" s="157">
        <f t="shared" si="64"/>
        <v>-28500000</v>
      </c>
      <c r="CI30" s="152">
        <f t="shared" si="64"/>
        <v>273500000</v>
      </c>
      <c r="CJ30" s="152">
        <f t="shared" si="64"/>
        <v>143499999</v>
      </c>
      <c r="CK30" s="152">
        <f t="shared" si="64"/>
        <v>283500000</v>
      </c>
      <c r="CL30" s="152">
        <f t="shared" si="64"/>
        <v>389500000</v>
      </c>
      <c r="CM30" s="152">
        <f t="shared" si="64"/>
        <v>293500000</v>
      </c>
      <c r="CN30" s="152">
        <f t="shared" si="64"/>
        <v>139500000</v>
      </c>
      <c r="CO30" s="152">
        <f t="shared" si="64"/>
        <v>286500000</v>
      </c>
      <c r="CP30" s="152">
        <f t="shared" si="64"/>
        <v>413500001</v>
      </c>
      <c r="CQ30" s="156">
        <f t="shared" si="52"/>
        <v>2194500000</v>
      </c>
      <c r="CR30" s="158"/>
      <c r="CS30" s="160">
        <f>SUM(CS31)</f>
        <v>100000</v>
      </c>
      <c r="CT30" s="145"/>
      <c r="CU30" s="145"/>
      <c r="CV30" s="145"/>
      <c r="CW30" s="145"/>
      <c r="CX30" s="145"/>
      <c r="CY30" s="161">
        <f>SUM(CY31)</f>
        <v>2139500000</v>
      </c>
      <c r="CZ30" s="151"/>
      <c r="DA30" s="162"/>
    </row>
    <row r="31" spans="1:105" ht="26.1" customHeight="1" x14ac:dyDescent="0.25">
      <c r="A31" s="237" t="s">
        <v>28</v>
      </c>
      <c r="B31" s="275" t="s">
        <v>687</v>
      </c>
      <c r="C31" s="237" t="s">
        <v>28</v>
      </c>
      <c r="D31" s="275" t="s">
        <v>357</v>
      </c>
      <c r="E31" s="47" t="s">
        <v>4</v>
      </c>
      <c r="F31" s="48" t="s">
        <v>409</v>
      </c>
      <c r="G31" s="48" t="s">
        <v>25</v>
      </c>
      <c r="H31" s="48" t="s">
        <v>107</v>
      </c>
      <c r="I31" s="49" t="s">
        <v>217</v>
      </c>
      <c r="J31" s="49" t="s">
        <v>229</v>
      </c>
      <c r="K31" s="206"/>
      <c r="L31" s="207"/>
      <c r="M31" s="208"/>
      <c r="O31" s="237" t="s">
        <v>28</v>
      </c>
      <c r="P31" s="47" t="s">
        <v>4</v>
      </c>
      <c r="Q31" s="48" t="s">
        <v>409</v>
      </c>
      <c r="R31" s="48" t="s">
        <v>314</v>
      </c>
      <c r="S31" s="48" t="s">
        <v>314</v>
      </c>
      <c r="T31" s="48"/>
      <c r="U31" s="48" t="s">
        <v>314</v>
      </c>
      <c r="V31" s="48"/>
      <c r="W31" s="48"/>
      <c r="X31" s="48" t="s">
        <v>307</v>
      </c>
      <c r="Y31" s="48"/>
      <c r="Z31" s="48"/>
      <c r="AA31" s="48"/>
      <c r="AB31" s="48"/>
      <c r="AC31" s="48" t="s">
        <v>314</v>
      </c>
      <c r="AD31" s="48"/>
      <c r="AE31" s="48" t="s">
        <v>314</v>
      </c>
      <c r="AF31" s="208"/>
      <c r="AG31" s="47" t="s">
        <v>315</v>
      </c>
      <c r="AH31" s="266" t="s">
        <v>319</v>
      </c>
      <c r="AI31" s="68" t="s">
        <v>419</v>
      </c>
      <c r="AJ31" s="48"/>
      <c r="AK31" s="438">
        <v>0.7</v>
      </c>
      <c r="AL31" s="438">
        <v>0.7</v>
      </c>
      <c r="AM31" s="438">
        <v>0.7</v>
      </c>
      <c r="AN31" s="438">
        <v>0.7</v>
      </c>
      <c r="AO31" s="438">
        <v>0.7</v>
      </c>
      <c r="AP31" s="438">
        <v>0.7</v>
      </c>
      <c r="AQ31" s="438">
        <v>0.7</v>
      </c>
      <c r="AR31" s="438">
        <v>0.7</v>
      </c>
      <c r="AS31" s="438">
        <v>0.7</v>
      </c>
      <c r="AT31" s="48"/>
      <c r="AU31" s="48"/>
      <c r="AV31" s="438">
        <v>0.9</v>
      </c>
      <c r="AW31" s="438">
        <v>0.9</v>
      </c>
      <c r="AX31" s="438">
        <v>0.9</v>
      </c>
      <c r="AY31" s="438">
        <v>0.9</v>
      </c>
      <c r="AZ31" s="438">
        <v>0.9</v>
      </c>
      <c r="BA31" s="438">
        <v>0.9</v>
      </c>
      <c r="BB31" s="438">
        <v>0.9</v>
      </c>
      <c r="BC31" s="438">
        <v>0.9</v>
      </c>
      <c r="BD31" s="438">
        <v>0.9</v>
      </c>
      <c r="BE31" s="48"/>
      <c r="BF31" s="94"/>
      <c r="BG31" s="268" t="s">
        <v>4</v>
      </c>
      <c r="BH31" s="68" t="s">
        <v>349</v>
      </c>
      <c r="BI31" s="48" t="s">
        <v>323</v>
      </c>
      <c r="BJ31" s="241"/>
      <c r="BK31" s="212">
        <v>1736900000</v>
      </c>
      <c r="BL31" s="170">
        <v>767900000</v>
      </c>
      <c r="BM31" s="170">
        <v>469400000</v>
      </c>
      <c r="BN31" s="170">
        <v>484400000</v>
      </c>
      <c r="BO31" s="170">
        <v>542800000</v>
      </c>
      <c r="BP31" s="170">
        <v>521000000</v>
      </c>
      <c r="BQ31" s="170">
        <v>639500000</v>
      </c>
      <c r="BR31" s="170">
        <v>625500000</v>
      </c>
      <c r="BS31" s="170">
        <v>730500000</v>
      </c>
      <c r="BT31" s="213">
        <f t="shared" si="57"/>
        <v>6517900000</v>
      </c>
      <c r="BU31" s="242">
        <v>1</v>
      </c>
      <c r="BV31" s="48"/>
      <c r="BW31" s="48"/>
      <c r="BX31" s="243"/>
      <c r="BY31" s="212">
        <v>1708400000</v>
      </c>
      <c r="BZ31" s="170">
        <v>1041400000</v>
      </c>
      <c r="CA31" s="170">
        <v>612899999</v>
      </c>
      <c r="CB31" s="170">
        <v>767900000</v>
      </c>
      <c r="CC31" s="170">
        <v>932300000</v>
      </c>
      <c r="CD31" s="170">
        <v>814500000</v>
      </c>
      <c r="CE31" s="170">
        <v>779000000</v>
      </c>
      <c r="CF31" s="170">
        <v>912000000</v>
      </c>
      <c r="CG31" s="213">
        <v>1144000001</v>
      </c>
      <c r="CH31" s="212">
        <v>-28500000</v>
      </c>
      <c r="CI31" s="170">
        <v>273500000</v>
      </c>
      <c r="CJ31" s="170">
        <v>143499999</v>
      </c>
      <c r="CK31" s="170">
        <v>283500000</v>
      </c>
      <c r="CL31" s="170">
        <v>389500000</v>
      </c>
      <c r="CM31" s="170">
        <v>293500000</v>
      </c>
      <c r="CN31" s="170">
        <v>139500000</v>
      </c>
      <c r="CO31" s="170">
        <v>286500000</v>
      </c>
      <c r="CP31" s="170">
        <v>413500001</v>
      </c>
      <c r="CQ31" s="213">
        <v>2194500000</v>
      </c>
      <c r="CR31" s="219"/>
      <c r="CS31" s="220">
        <v>100000</v>
      </c>
      <c r="CT31" s="220" t="s">
        <v>326</v>
      </c>
      <c r="CU31" s="210"/>
      <c r="CV31" s="210"/>
      <c r="CW31" s="210"/>
      <c r="CX31" s="210"/>
      <c r="CY31" s="221">
        <f>+CQ31-CS31*550</f>
        <v>2139500000</v>
      </c>
      <c r="CZ31" s="222"/>
      <c r="DA31" s="246"/>
    </row>
    <row r="32" spans="1:105" ht="26.1" customHeight="1" x14ac:dyDescent="0.25">
      <c r="A32" s="143" t="s">
        <v>29</v>
      </c>
      <c r="B32" s="144" t="s">
        <v>688</v>
      </c>
      <c r="C32" s="143" t="s">
        <v>29</v>
      </c>
      <c r="D32" s="144" t="s">
        <v>357</v>
      </c>
      <c r="E32" s="59" t="s">
        <v>4</v>
      </c>
      <c r="F32" s="145"/>
      <c r="G32" s="60"/>
      <c r="H32" s="61"/>
      <c r="I32" s="62"/>
      <c r="J32" s="62"/>
      <c r="K32" s="147" t="s">
        <v>256</v>
      </c>
      <c r="L32" s="148" t="s">
        <v>258</v>
      </c>
      <c r="M32" s="149"/>
      <c r="O32" s="143" t="s">
        <v>29</v>
      </c>
      <c r="P32" s="150"/>
      <c r="Q32" s="145"/>
      <c r="R32" s="145"/>
      <c r="S32" s="145"/>
      <c r="T32" s="145"/>
      <c r="U32" s="145"/>
      <c r="V32" s="145"/>
      <c r="W32" s="145"/>
      <c r="X32" s="145"/>
      <c r="Y32" s="145"/>
      <c r="Z32" s="145"/>
      <c r="AA32" s="145"/>
      <c r="AB32" s="145"/>
      <c r="AC32" s="145"/>
      <c r="AD32" s="145"/>
      <c r="AE32" s="145"/>
      <c r="AF32" s="151"/>
      <c r="AG32" s="150"/>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51"/>
      <c r="BG32" s="150"/>
      <c r="BH32" s="154" t="s">
        <v>357</v>
      </c>
      <c r="BI32" s="155"/>
      <c r="BJ32" s="156">
        <f t="shared" ref="BJ32:BS32" si="65">SUM(BJ33:BJ35)</f>
        <v>3441150003.6100001</v>
      </c>
      <c r="BK32" s="157">
        <f t="shared" si="65"/>
        <v>4029405035.0100002</v>
      </c>
      <c r="BL32" s="152">
        <f t="shared" si="65"/>
        <v>4165452686.7605</v>
      </c>
      <c r="BM32" s="152">
        <f t="shared" si="65"/>
        <v>4324019981.0985241</v>
      </c>
      <c r="BN32" s="152">
        <f t="shared" si="65"/>
        <v>4490482900.153451</v>
      </c>
      <c r="BO32" s="152">
        <f t="shared" si="65"/>
        <v>4665236225.1611233</v>
      </c>
      <c r="BP32" s="152">
        <f t="shared" si="65"/>
        <v>4867444476.4191799</v>
      </c>
      <c r="BQ32" s="152">
        <f t="shared" si="65"/>
        <v>5041292900.240139</v>
      </c>
      <c r="BR32" s="152">
        <f t="shared" si="65"/>
        <v>5243488505.2521458</v>
      </c>
      <c r="BS32" s="152">
        <f t="shared" si="65"/>
        <v>5455761150.5147533</v>
      </c>
      <c r="BT32" s="156">
        <f t="shared" si="57"/>
        <v>42282583860.609825</v>
      </c>
      <c r="BU32" s="158"/>
      <c r="BV32" s="145"/>
      <c r="BW32" s="145"/>
      <c r="BX32" s="159"/>
      <c r="BY32" s="157">
        <f t="shared" ref="BY32:CP32" si="66">SUM(BY33:BY35)</f>
        <v>4338345538.5109997</v>
      </c>
      <c r="BZ32" s="152">
        <f t="shared" si="66"/>
        <v>4643303229.0715504</v>
      </c>
      <c r="CA32" s="152">
        <f t="shared" si="66"/>
        <v>5003251235.5236273</v>
      </c>
      <c r="CB32" s="152">
        <f t="shared" si="66"/>
        <v>5398913375.5981588</v>
      </c>
      <c r="CC32" s="152">
        <f t="shared" si="66"/>
        <v>5833835242.9062519</v>
      </c>
      <c r="CD32" s="152">
        <f t="shared" si="66"/>
        <v>6340041354.2325687</v>
      </c>
      <c r="CE32" s="152">
        <f t="shared" si="66"/>
        <v>6837445510.0433006</v>
      </c>
      <c r="CF32" s="152">
        <f t="shared" si="66"/>
        <v>7415139689.4544802</v>
      </c>
      <c r="CG32" s="156">
        <f t="shared" si="66"/>
        <v>8050186833.0271196</v>
      </c>
      <c r="CH32" s="157">
        <f t="shared" si="66"/>
        <v>308940503.50099981</v>
      </c>
      <c r="CI32" s="152">
        <f t="shared" si="66"/>
        <v>477850542.31104988</v>
      </c>
      <c r="CJ32" s="152">
        <f t="shared" si="66"/>
        <v>679231254.42510271</v>
      </c>
      <c r="CK32" s="152">
        <f t="shared" si="66"/>
        <v>908430475.44470811</v>
      </c>
      <c r="CL32" s="152">
        <f t="shared" si="66"/>
        <v>1168599017.7451286</v>
      </c>
      <c r="CM32" s="152">
        <f t="shared" si="66"/>
        <v>1472596877.8133888</v>
      </c>
      <c r="CN32" s="152">
        <f t="shared" si="66"/>
        <v>1796152609.8031621</v>
      </c>
      <c r="CO32" s="152">
        <f t="shared" si="66"/>
        <v>2171651184.2023344</v>
      </c>
      <c r="CP32" s="152">
        <f t="shared" si="66"/>
        <v>2594425682.5123663</v>
      </c>
      <c r="CQ32" s="156">
        <f>SUM(CH32:CP32)</f>
        <v>11577878147.75824</v>
      </c>
      <c r="CR32" s="158"/>
      <c r="CS32" s="160">
        <f>SUM(CS33:CS35)</f>
        <v>90000</v>
      </c>
      <c r="CT32" s="145"/>
      <c r="CU32" s="145"/>
      <c r="CV32" s="145"/>
      <c r="CW32" s="145"/>
      <c r="CX32" s="145"/>
      <c r="CY32" s="152">
        <f>SUM(CY33:CY35)</f>
        <v>11528378147.75824</v>
      </c>
      <c r="CZ32" s="151"/>
      <c r="DA32" s="162"/>
    </row>
    <row r="33" spans="1:105" ht="60.75" customHeight="1" x14ac:dyDescent="0.25">
      <c r="A33" s="204" t="s">
        <v>30</v>
      </c>
      <c r="B33" s="205" t="s">
        <v>689</v>
      </c>
      <c r="C33" s="204" t="s">
        <v>365</v>
      </c>
      <c r="D33" s="205" t="s">
        <v>357</v>
      </c>
      <c r="E33" s="47" t="s">
        <v>4</v>
      </c>
      <c r="F33" s="48" t="s">
        <v>407</v>
      </c>
      <c r="G33" s="48" t="s">
        <v>395</v>
      </c>
      <c r="H33" s="50" t="s">
        <v>108</v>
      </c>
      <c r="I33" s="49" t="s">
        <v>246</v>
      </c>
      <c r="J33" s="49" t="s">
        <v>229</v>
      </c>
      <c r="K33" s="206"/>
      <c r="L33" s="207"/>
      <c r="M33" s="208"/>
      <c r="O33" s="204" t="s">
        <v>365</v>
      </c>
      <c r="P33" s="47" t="s">
        <v>4</v>
      </c>
      <c r="Q33" s="48" t="s">
        <v>407</v>
      </c>
      <c r="R33" s="50" t="s">
        <v>314</v>
      </c>
      <c r="S33" s="48" t="s">
        <v>314</v>
      </c>
      <c r="T33" s="48" t="s">
        <v>314</v>
      </c>
      <c r="U33" s="48" t="s">
        <v>314</v>
      </c>
      <c r="V33" s="48" t="s">
        <v>314</v>
      </c>
      <c r="W33" s="50"/>
      <c r="X33" s="50" t="s">
        <v>307</v>
      </c>
      <c r="Y33" s="50"/>
      <c r="Z33" s="50"/>
      <c r="AA33" s="50"/>
      <c r="AB33" s="50"/>
      <c r="AC33" s="50"/>
      <c r="AD33" s="50"/>
      <c r="AE33" s="50"/>
      <c r="AF33" s="259"/>
      <c r="AG33" s="47" t="s">
        <v>362</v>
      </c>
      <c r="AH33" s="210" t="s">
        <v>319</v>
      </c>
      <c r="AI33" s="68" t="s">
        <v>371</v>
      </c>
      <c r="AJ33" s="48">
        <v>30</v>
      </c>
      <c r="AK33" s="436">
        <v>25</v>
      </c>
      <c r="AL33" s="436">
        <v>25</v>
      </c>
      <c r="AM33" s="436">
        <v>25</v>
      </c>
      <c r="AN33" s="436">
        <v>25</v>
      </c>
      <c r="AO33" s="436">
        <v>25</v>
      </c>
      <c r="AP33" s="436">
        <v>25</v>
      </c>
      <c r="AQ33" s="436">
        <v>25</v>
      </c>
      <c r="AR33" s="436">
        <v>25</v>
      </c>
      <c r="AS33" s="436">
        <v>25</v>
      </c>
      <c r="AT33" s="436">
        <v>25</v>
      </c>
      <c r="AU33" s="436">
        <v>25</v>
      </c>
      <c r="AV33" s="436">
        <v>25</v>
      </c>
      <c r="AW33" s="436">
        <v>23</v>
      </c>
      <c r="AX33" s="436">
        <v>21</v>
      </c>
      <c r="AY33" s="436">
        <v>20</v>
      </c>
      <c r="AZ33" s="436">
        <v>18</v>
      </c>
      <c r="BA33" s="436">
        <v>17</v>
      </c>
      <c r="BB33" s="436">
        <v>15</v>
      </c>
      <c r="BC33" s="436">
        <v>15</v>
      </c>
      <c r="BD33" s="436">
        <v>15</v>
      </c>
      <c r="BE33" s="48">
        <v>15</v>
      </c>
      <c r="BF33" s="94">
        <v>15</v>
      </c>
      <c r="BG33" s="206" t="s">
        <v>330</v>
      </c>
      <c r="BH33" s="68" t="s">
        <v>349</v>
      </c>
      <c r="BI33" s="48" t="s">
        <v>323</v>
      </c>
      <c r="BJ33" s="269">
        <f>BK33-(BK33*0.2)</f>
        <v>2353020125.5999999</v>
      </c>
      <c r="BK33" s="212">
        <v>2941275157</v>
      </c>
      <c r="BL33" s="170">
        <v>3072916314.8499999</v>
      </c>
      <c r="BM33" s="170">
        <v>3226856790.5924997</v>
      </c>
      <c r="BN33" s="170">
        <v>3388461550.1221247</v>
      </c>
      <c r="BO33" s="170">
        <v>3558113807.628231</v>
      </c>
      <c r="BP33" s="170">
        <v>3754965938.0096426</v>
      </c>
      <c r="BQ33" s="170">
        <v>3923190434.9101248</v>
      </c>
      <c r="BR33" s="170">
        <v>4119480916.6556311</v>
      </c>
      <c r="BS33" s="170">
        <v>4325553182.4884129</v>
      </c>
      <c r="BT33" s="213">
        <f t="shared" si="57"/>
        <v>32310814092.256668</v>
      </c>
      <c r="BU33" s="276">
        <v>0.9</v>
      </c>
      <c r="BV33" s="170"/>
      <c r="BW33" s="277">
        <v>0.1</v>
      </c>
      <c r="BX33" s="213"/>
      <c r="BY33" s="212">
        <v>3241402672.6999998</v>
      </c>
      <c r="BZ33" s="170">
        <v>3541513219.9699998</v>
      </c>
      <c r="CA33" s="170">
        <v>3896371725.967</v>
      </c>
      <c r="CB33" s="170">
        <v>4286689890.5637002</v>
      </c>
      <c r="CC33" s="170">
        <v>4716000583.6200705</v>
      </c>
      <c r="CD33" s="170">
        <v>5216314961.9820776</v>
      </c>
      <c r="CE33" s="170">
        <v>5707532798.1802855</v>
      </c>
      <c r="CF33" s="170">
        <v>6278731341.9983139</v>
      </c>
      <c r="CG33" s="213">
        <v>6906958068.1981449</v>
      </c>
      <c r="CH33" s="212">
        <f>BY33-BK33</f>
        <v>300127515.69999981</v>
      </c>
      <c r="CI33" s="170">
        <f t="shared" ref="CI33:CP33" si="67">BZ33-BL33</f>
        <v>468596905.11999989</v>
      </c>
      <c r="CJ33" s="170">
        <f t="shared" si="67"/>
        <v>669514935.37450027</v>
      </c>
      <c r="CK33" s="170">
        <f t="shared" si="67"/>
        <v>898228340.44157553</v>
      </c>
      <c r="CL33" s="170">
        <f t="shared" si="67"/>
        <v>1157886775.9918394</v>
      </c>
      <c r="CM33" s="170">
        <f t="shared" si="67"/>
        <v>1461349023.972435</v>
      </c>
      <c r="CN33" s="170">
        <f t="shared" si="67"/>
        <v>1784342363.2701607</v>
      </c>
      <c r="CO33" s="170">
        <f t="shared" si="67"/>
        <v>2159250425.3426828</v>
      </c>
      <c r="CP33" s="170">
        <f t="shared" si="67"/>
        <v>2581404885.7097321</v>
      </c>
      <c r="CQ33" s="213">
        <f>SUM(CH33:CP33)</f>
        <v>11480701170.922924</v>
      </c>
      <c r="CR33" s="219"/>
      <c r="CS33" s="220">
        <v>15000</v>
      </c>
      <c r="CT33" s="220" t="s">
        <v>363</v>
      </c>
      <c r="CU33" s="210"/>
      <c r="CV33" s="210"/>
      <c r="CW33" s="210"/>
      <c r="CX33" s="210"/>
      <c r="CY33" s="221">
        <f>+CQ33-CS33*550</f>
        <v>11472451170.922924</v>
      </c>
      <c r="CZ33" s="222"/>
      <c r="DA33" s="278"/>
    </row>
    <row r="34" spans="1:105" ht="25.5" customHeight="1" x14ac:dyDescent="0.25">
      <c r="A34" s="163" t="s">
        <v>31</v>
      </c>
      <c r="B34" s="164" t="s">
        <v>690</v>
      </c>
      <c r="C34" s="204" t="s">
        <v>366</v>
      </c>
      <c r="D34" s="164" t="s">
        <v>357</v>
      </c>
      <c r="E34" s="74" t="s">
        <v>4</v>
      </c>
      <c r="F34" s="48" t="s">
        <v>407</v>
      </c>
      <c r="G34" s="75" t="s">
        <v>395</v>
      </c>
      <c r="H34" s="420" t="s">
        <v>109</v>
      </c>
      <c r="I34" s="49" t="s">
        <v>246</v>
      </c>
      <c r="J34" s="49" t="s">
        <v>229</v>
      </c>
      <c r="K34" s="165"/>
      <c r="L34" s="166"/>
      <c r="M34" s="167"/>
      <c r="O34" s="204" t="s">
        <v>366</v>
      </c>
      <c r="P34" s="47" t="s">
        <v>4</v>
      </c>
      <c r="Q34" s="48" t="s">
        <v>407</v>
      </c>
      <c r="R34" s="50" t="s">
        <v>314</v>
      </c>
      <c r="S34" s="50" t="s">
        <v>314</v>
      </c>
      <c r="T34" s="50"/>
      <c r="U34" s="50" t="s">
        <v>314</v>
      </c>
      <c r="V34" s="50"/>
      <c r="W34" s="50" t="s">
        <v>314</v>
      </c>
      <c r="X34" s="50" t="s">
        <v>307</v>
      </c>
      <c r="Y34" s="50"/>
      <c r="Z34" s="50"/>
      <c r="AA34" s="50"/>
      <c r="AB34" s="50"/>
      <c r="AC34" s="50"/>
      <c r="AD34" s="50"/>
      <c r="AE34" s="50"/>
      <c r="AF34" s="259"/>
      <c r="AG34" s="47" t="s">
        <v>315</v>
      </c>
      <c r="AH34" s="210" t="s">
        <v>319</v>
      </c>
      <c r="AI34" s="68" t="s">
        <v>372</v>
      </c>
      <c r="AJ34" s="48">
        <v>60</v>
      </c>
      <c r="AK34" s="436">
        <v>70</v>
      </c>
      <c r="AL34" s="436">
        <v>70</v>
      </c>
      <c r="AM34" s="436">
        <v>70</v>
      </c>
      <c r="AN34" s="436">
        <v>75</v>
      </c>
      <c r="AO34" s="436">
        <v>75</v>
      </c>
      <c r="AP34" s="436">
        <v>75</v>
      </c>
      <c r="AQ34" s="436">
        <v>75</v>
      </c>
      <c r="AR34" s="436">
        <v>80</v>
      </c>
      <c r="AS34" s="436">
        <v>80</v>
      </c>
      <c r="AT34" s="436">
        <v>80</v>
      </c>
      <c r="AU34" s="436">
        <v>80</v>
      </c>
      <c r="AV34" s="436">
        <v>80</v>
      </c>
      <c r="AW34" s="436">
        <v>90</v>
      </c>
      <c r="AX34" s="436">
        <v>90</v>
      </c>
      <c r="AY34" s="436">
        <v>90</v>
      </c>
      <c r="AZ34" s="436">
        <v>90</v>
      </c>
      <c r="BA34" s="436">
        <v>90</v>
      </c>
      <c r="BB34" s="436">
        <v>90</v>
      </c>
      <c r="BC34" s="436">
        <v>90</v>
      </c>
      <c r="BD34" s="436">
        <v>90</v>
      </c>
      <c r="BE34" s="48">
        <v>90</v>
      </c>
      <c r="BF34" s="94">
        <v>90</v>
      </c>
      <c r="BG34" s="206" t="s">
        <v>330</v>
      </c>
      <c r="BH34" s="68" t="s">
        <v>349</v>
      </c>
      <c r="BI34" s="48" t="s">
        <v>323</v>
      </c>
      <c r="BJ34" s="269">
        <v>88129878.010000005</v>
      </c>
      <c r="BK34" s="212">
        <v>88129878.010000005</v>
      </c>
      <c r="BL34" s="170">
        <v>92536371.910500005</v>
      </c>
      <c r="BM34" s="170">
        <v>97163190.506025001</v>
      </c>
      <c r="BN34" s="170">
        <v>102021350.03132625</v>
      </c>
      <c r="BO34" s="170">
        <v>107122417.53289255</v>
      </c>
      <c r="BP34" s="170">
        <v>112478538.40953718</v>
      </c>
      <c r="BQ34" s="170">
        <v>118102465.33001404</v>
      </c>
      <c r="BR34" s="170">
        <v>124007588.59651473</v>
      </c>
      <c r="BS34" s="170">
        <v>130207968.02634047</v>
      </c>
      <c r="BT34" s="213">
        <f t="shared" si="57"/>
        <v>971769768.35315013</v>
      </c>
      <c r="BU34" s="212">
        <v>0</v>
      </c>
      <c r="BV34" s="170"/>
      <c r="BW34" s="277">
        <v>1</v>
      </c>
      <c r="BX34" s="213"/>
      <c r="BY34" s="212">
        <v>96942865.811000004</v>
      </c>
      <c r="BZ34" s="170">
        <v>101790009.10155001</v>
      </c>
      <c r="CA34" s="170">
        <v>106879509.5566275</v>
      </c>
      <c r="CB34" s="170">
        <v>112223485.03445888</v>
      </c>
      <c r="CC34" s="170">
        <v>117834659.28618181</v>
      </c>
      <c r="CD34" s="170">
        <v>123726392.2504909</v>
      </c>
      <c r="CE34" s="170">
        <v>129912711.86301544</v>
      </c>
      <c r="CF34" s="170">
        <v>136408347.45616621</v>
      </c>
      <c r="CG34" s="213">
        <v>143228764.82897452</v>
      </c>
      <c r="CH34" s="212">
        <f>BY34-BK34</f>
        <v>8812987.800999999</v>
      </c>
      <c r="CI34" s="170">
        <f t="shared" ref="CI34:CP34" si="68">BZ34-BL34</f>
        <v>9253637.1910500079</v>
      </c>
      <c r="CJ34" s="170">
        <f t="shared" si="68"/>
        <v>9716319.0506024957</v>
      </c>
      <c r="CK34" s="170">
        <f t="shared" si="68"/>
        <v>10202135.003132626</v>
      </c>
      <c r="CL34" s="170">
        <f t="shared" si="68"/>
        <v>10712241.753289253</v>
      </c>
      <c r="CM34" s="170">
        <f t="shared" si="68"/>
        <v>11247853.840953723</v>
      </c>
      <c r="CN34" s="170">
        <f t="shared" si="68"/>
        <v>11810246.533001408</v>
      </c>
      <c r="CO34" s="170">
        <f t="shared" si="68"/>
        <v>12400758.859651476</v>
      </c>
      <c r="CP34" s="170">
        <f t="shared" si="68"/>
        <v>13020796.802634045</v>
      </c>
      <c r="CQ34" s="213">
        <f>SUM(CH34:CP34)</f>
        <v>97176976.835315034</v>
      </c>
      <c r="CR34" s="219"/>
      <c r="CS34" s="220">
        <v>75000</v>
      </c>
      <c r="CT34" s="220" t="s">
        <v>364</v>
      </c>
      <c r="CU34" s="210"/>
      <c r="CV34" s="210"/>
      <c r="CW34" s="210"/>
      <c r="CX34" s="210"/>
      <c r="CY34" s="221">
        <f>+CQ34-CS34*550</f>
        <v>55926976.835315034</v>
      </c>
      <c r="CZ34" s="222"/>
      <c r="DA34" s="246"/>
    </row>
    <row r="35" spans="1:105" ht="25.5" customHeight="1" x14ac:dyDescent="0.25">
      <c r="A35" s="279" t="s">
        <v>98</v>
      </c>
      <c r="B35" s="429" t="s">
        <v>691</v>
      </c>
      <c r="C35" s="428" t="s">
        <v>392</v>
      </c>
      <c r="D35" s="429" t="s">
        <v>355</v>
      </c>
      <c r="E35" s="423" t="s">
        <v>4</v>
      </c>
      <c r="F35" s="424" t="s">
        <v>406</v>
      </c>
      <c r="G35" s="424" t="s">
        <v>63</v>
      </c>
      <c r="H35" s="430" t="s">
        <v>140</v>
      </c>
      <c r="I35" s="49" t="s">
        <v>245</v>
      </c>
      <c r="J35" s="49" t="s">
        <v>236</v>
      </c>
      <c r="K35" s="206" t="s">
        <v>258</v>
      </c>
      <c r="L35" s="207"/>
      <c r="M35" s="208"/>
      <c r="O35" s="279" t="s">
        <v>392</v>
      </c>
      <c r="P35" s="47" t="s">
        <v>4</v>
      </c>
      <c r="Q35" s="48" t="s">
        <v>406</v>
      </c>
      <c r="R35" s="48" t="s">
        <v>314</v>
      </c>
      <c r="S35" s="48"/>
      <c r="T35" s="48" t="s">
        <v>314</v>
      </c>
      <c r="U35" s="48"/>
      <c r="V35" s="48"/>
      <c r="W35" s="48"/>
      <c r="X35" s="48" t="s">
        <v>307</v>
      </c>
      <c r="Y35" s="48"/>
      <c r="Z35" s="48"/>
      <c r="AA35" s="48"/>
      <c r="AB35" s="48"/>
      <c r="AC35" s="48"/>
      <c r="AD35" s="48"/>
      <c r="AE35" s="48"/>
      <c r="AF35" s="209"/>
      <c r="AG35" s="47" t="s">
        <v>315</v>
      </c>
      <c r="AH35" s="210" t="s">
        <v>309</v>
      </c>
      <c r="AI35" s="68" t="s">
        <v>384</v>
      </c>
      <c r="AJ35" s="170">
        <v>1000000000</v>
      </c>
      <c r="AK35" s="437">
        <v>0</v>
      </c>
      <c r="AL35" s="437">
        <v>0</v>
      </c>
      <c r="AM35" s="437">
        <v>0</v>
      </c>
      <c r="AN35" s="437">
        <v>0</v>
      </c>
      <c r="AO35" s="437">
        <v>0</v>
      </c>
      <c r="AP35" s="437">
        <v>0</v>
      </c>
      <c r="AQ35" s="437">
        <v>0</v>
      </c>
      <c r="AR35" s="437">
        <v>0</v>
      </c>
      <c r="AS35" s="437">
        <v>0</v>
      </c>
      <c r="AT35" s="437"/>
      <c r="AU35" s="437"/>
      <c r="AV35" s="437">
        <v>0</v>
      </c>
      <c r="AW35" s="437">
        <v>0</v>
      </c>
      <c r="AX35" s="437">
        <v>0</v>
      </c>
      <c r="AY35" s="437">
        <v>0</v>
      </c>
      <c r="AZ35" s="437">
        <v>0</v>
      </c>
      <c r="BA35" s="437">
        <v>0</v>
      </c>
      <c r="BB35" s="437">
        <v>0</v>
      </c>
      <c r="BC35" s="437">
        <v>0</v>
      </c>
      <c r="BD35" s="437">
        <v>0</v>
      </c>
      <c r="BE35" s="284"/>
      <c r="BF35" s="284"/>
      <c r="BG35" s="206" t="s">
        <v>4</v>
      </c>
      <c r="BH35" s="257" t="s">
        <v>312</v>
      </c>
      <c r="BI35" s="48" t="s">
        <v>323</v>
      </c>
      <c r="BJ35" s="252">
        <v>1000000000</v>
      </c>
      <c r="BK35" s="212">
        <v>1000000000</v>
      </c>
      <c r="BL35" s="170">
        <v>1000000000</v>
      </c>
      <c r="BM35" s="170">
        <v>1000000000</v>
      </c>
      <c r="BN35" s="170">
        <v>1000000000</v>
      </c>
      <c r="BO35" s="170">
        <v>1000000000</v>
      </c>
      <c r="BP35" s="170">
        <v>1000000000</v>
      </c>
      <c r="BQ35" s="170">
        <v>1000000000</v>
      </c>
      <c r="BR35" s="170">
        <v>1000000000</v>
      </c>
      <c r="BS35" s="170">
        <v>1000000000</v>
      </c>
      <c r="BT35" s="213">
        <f t="shared" si="57"/>
        <v>9000000000</v>
      </c>
      <c r="BU35" s="285">
        <v>1</v>
      </c>
      <c r="BV35" s="48"/>
      <c r="BW35" s="48"/>
      <c r="BX35" s="216"/>
      <c r="BY35" s="212">
        <v>1000000000</v>
      </c>
      <c r="BZ35" s="170">
        <v>1000000000</v>
      </c>
      <c r="CA35" s="170">
        <v>1000000000</v>
      </c>
      <c r="CB35" s="170">
        <v>1000000000</v>
      </c>
      <c r="CC35" s="170">
        <v>1000000000</v>
      </c>
      <c r="CD35" s="170">
        <v>1000000000</v>
      </c>
      <c r="CE35" s="170">
        <v>1000000000</v>
      </c>
      <c r="CF35" s="170">
        <v>1000000000</v>
      </c>
      <c r="CG35" s="213">
        <v>1000000000</v>
      </c>
      <c r="CH35" s="217">
        <f>+BY35-BK35</f>
        <v>0</v>
      </c>
      <c r="CI35" s="217">
        <f t="shared" ref="CI35:CP35" si="69">+BZ35-BL35</f>
        <v>0</v>
      </c>
      <c r="CJ35" s="217">
        <f t="shared" si="69"/>
        <v>0</v>
      </c>
      <c r="CK35" s="217">
        <f t="shared" si="69"/>
        <v>0</v>
      </c>
      <c r="CL35" s="217">
        <f t="shared" si="69"/>
        <v>0</v>
      </c>
      <c r="CM35" s="217">
        <f t="shared" si="69"/>
        <v>0</v>
      </c>
      <c r="CN35" s="217">
        <f t="shared" si="69"/>
        <v>0</v>
      </c>
      <c r="CO35" s="217">
        <f t="shared" si="69"/>
        <v>0</v>
      </c>
      <c r="CP35" s="217">
        <f t="shared" si="69"/>
        <v>0</v>
      </c>
      <c r="CQ35" s="218">
        <f>+CG35-BS35</f>
        <v>0</v>
      </c>
      <c r="CR35" s="219"/>
      <c r="CS35" s="220"/>
      <c r="CT35" s="220"/>
      <c r="CU35" s="210"/>
      <c r="CV35" s="210"/>
      <c r="CW35" s="210"/>
      <c r="CX35" s="210"/>
      <c r="CY35" s="221">
        <f>+CQ35-CS35*550</f>
        <v>0</v>
      </c>
      <c r="CZ35" s="222"/>
      <c r="DA35" s="246"/>
    </row>
    <row r="36" spans="1:105" ht="26.1" customHeight="1" x14ac:dyDescent="0.25">
      <c r="A36" s="123" t="s">
        <v>32</v>
      </c>
      <c r="B36" s="124" t="s">
        <v>692</v>
      </c>
      <c r="C36" s="123" t="s">
        <v>32</v>
      </c>
      <c r="D36" s="124"/>
      <c r="E36" s="55"/>
      <c r="F36" s="126"/>
      <c r="G36" s="56"/>
      <c r="H36" s="58"/>
      <c r="I36" s="57"/>
      <c r="J36" s="57"/>
      <c r="K36" s="128"/>
      <c r="L36" s="129"/>
      <c r="M36" s="130"/>
      <c r="O36" s="123" t="s">
        <v>32</v>
      </c>
      <c r="P36" s="131"/>
      <c r="Q36" s="126"/>
      <c r="R36" s="126"/>
      <c r="S36" s="126"/>
      <c r="T36" s="126"/>
      <c r="U36" s="126"/>
      <c r="V36" s="126"/>
      <c r="W36" s="126"/>
      <c r="X36" s="126"/>
      <c r="Y36" s="126"/>
      <c r="Z36" s="126"/>
      <c r="AA36" s="126"/>
      <c r="AB36" s="126"/>
      <c r="AC36" s="126"/>
      <c r="AD36" s="126"/>
      <c r="AE36" s="126"/>
      <c r="AF36" s="132"/>
      <c r="AG36" s="131"/>
      <c r="AH36" s="126"/>
      <c r="AI36" s="126"/>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263"/>
      <c r="BG36" s="131"/>
      <c r="BH36" s="126"/>
      <c r="BI36" s="134"/>
      <c r="BJ36" s="135">
        <f t="shared" ref="BJ36:BS36" si="70">+BJ37+BJ41+BJ52</f>
        <v>17663552041.885002</v>
      </c>
      <c r="BK36" s="136">
        <f t="shared" si="70"/>
        <v>18569649759.088711</v>
      </c>
      <c r="BL36" s="133">
        <f t="shared" si="70"/>
        <v>24883177837.660007</v>
      </c>
      <c r="BM36" s="133">
        <f t="shared" si="70"/>
        <v>20273816940.507732</v>
      </c>
      <c r="BN36" s="133">
        <f t="shared" si="70"/>
        <v>21634375691.518124</v>
      </c>
      <c r="BO36" s="133">
        <f t="shared" si="70"/>
        <v>21586313714.520939</v>
      </c>
      <c r="BP36" s="133">
        <f t="shared" si="70"/>
        <v>21752665477.34457</v>
      </c>
      <c r="BQ36" s="133">
        <f t="shared" si="70"/>
        <v>22861982653.311893</v>
      </c>
      <c r="BR36" s="133">
        <f t="shared" si="70"/>
        <v>23993457747.515949</v>
      </c>
      <c r="BS36" s="133">
        <f t="shared" si="70"/>
        <v>25181506596.43021</v>
      </c>
      <c r="BT36" s="137">
        <f>SUM(BK36:BS36)</f>
        <v>200736946417.89816</v>
      </c>
      <c r="BU36" s="138"/>
      <c r="BV36" s="126"/>
      <c r="BW36" s="126"/>
      <c r="BX36" s="139"/>
      <c r="BY36" s="136">
        <f t="shared" ref="BY36:CP36" si="71">+BY37+BY41+BY52</f>
        <v>27850568530.21426</v>
      </c>
      <c r="BZ36" s="133">
        <f t="shared" si="71"/>
        <v>35462628754.67379</v>
      </c>
      <c r="CA36" s="133">
        <f t="shared" si="71"/>
        <v>32686852338.337914</v>
      </c>
      <c r="CB36" s="133">
        <f t="shared" si="71"/>
        <v>34909748377.612007</v>
      </c>
      <c r="CC36" s="133">
        <f t="shared" si="71"/>
        <v>35748523688.878426</v>
      </c>
      <c r="CD36" s="133">
        <f t="shared" si="71"/>
        <v>37335912739.965752</v>
      </c>
      <c r="CE36" s="133">
        <f t="shared" si="71"/>
        <v>38793167204.196777</v>
      </c>
      <c r="CF36" s="133">
        <f t="shared" si="71"/>
        <v>40245279586.664528</v>
      </c>
      <c r="CG36" s="137">
        <f t="shared" si="71"/>
        <v>42878365723.842491</v>
      </c>
      <c r="CH36" s="136">
        <f t="shared" si="71"/>
        <v>9280918771.1255455</v>
      </c>
      <c r="CI36" s="133">
        <f t="shared" si="71"/>
        <v>10579450917.013784</v>
      </c>
      <c r="CJ36" s="133">
        <f t="shared" si="71"/>
        <v>12413035397.830183</v>
      </c>
      <c r="CK36" s="133">
        <f t="shared" si="71"/>
        <v>13275372686.093885</v>
      </c>
      <c r="CL36" s="133">
        <f t="shared" si="71"/>
        <v>14162209974.357489</v>
      </c>
      <c r="CM36" s="133">
        <f t="shared" si="71"/>
        <v>15583247262.621183</v>
      </c>
      <c r="CN36" s="133">
        <f t="shared" si="71"/>
        <v>15931184550.884886</v>
      </c>
      <c r="CO36" s="133">
        <f t="shared" si="71"/>
        <v>16251821839.148581</v>
      </c>
      <c r="CP36" s="133">
        <f t="shared" si="71"/>
        <v>17696859127.412281</v>
      </c>
      <c r="CQ36" s="137">
        <f>SUM(CH36:CP36)</f>
        <v>125174100526.48781</v>
      </c>
      <c r="CR36" s="138"/>
      <c r="CS36" s="140">
        <f>+CS37+CS41+CS52</f>
        <v>553300</v>
      </c>
      <c r="CT36" s="126"/>
      <c r="CU36" s="126"/>
      <c r="CV36" s="126"/>
      <c r="CW36" s="126"/>
      <c r="CX36" s="126"/>
      <c r="CY36" s="141">
        <f>+CY37+CY41+CY52</f>
        <v>124869785526.48782</v>
      </c>
      <c r="CZ36" s="132"/>
      <c r="DA36" s="142"/>
    </row>
    <row r="37" spans="1:105" ht="26.1" customHeight="1" x14ac:dyDescent="0.25">
      <c r="A37" s="286" t="s">
        <v>33</v>
      </c>
      <c r="B37" s="287" t="s">
        <v>693</v>
      </c>
      <c r="C37" s="286" t="s">
        <v>33</v>
      </c>
      <c r="D37" s="287" t="s">
        <v>355</v>
      </c>
      <c r="E37" s="63" t="s">
        <v>3</v>
      </c>
      <c r="F37" s="288"/>
      <c r="G37" s="64"/>
      <c r="H37" s="65"/>
      <c r="I37" s="66"/>
      <c r="J37" s="66"/>
      <c r="K37" s="289"/>
      <c r="L37" s="290"/>
      <c r="M37" s="291"/>
      <c r="O37" s="286" t="s">
        <v>33</v>
      </c>
      <c r="P37" s="292"/>
      <c r="Q37" s="288"/>
      <c r="R37" s="288"/>
      <c r="S37" s="288"/>
      <c r="T37" s="288"/>
      <c r="U37" s="288"/>
      <c r="V37" s="288"/>
      <c r="W37" s="288"/>
      <c r="X37" s="288"/>
      <c r="Y37" s="288"/>
      <c r="Z37" s="288"/>
      <c r="AA37" s="288"/>
      <c r="AB37" s="288"/>
      <c r="AC37" s="288"/>
      <c r="AD37" s="288"/>
      <c r="AE37" s="288"/>
      <c r="AF37" s="293"/>
      <c r="AG37" s="292"/>
      <c r="AH37" s="288"/>
      <c r="AI37" s="288"/>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5"/>
      <c r="BG37" s="292"/>
      <c r="BH37" s="288"/>
      <c r="BI37" s="296"/>
      <c r="BJ37" s="297">
        <f t="shared" ref="BJ37:BS37" si="72">+BJ39+BJ38</f>
        <v>17583152041.885002</v>
      </c>
      <c r="BK37" s="298">
        <f t="shared" si="72"/>
        <v>18398311297.550251</v>
      </c>
      <c r="BL37" s="294">
        <f t="shared" si="72"/>
        <v>24647547068.429237</v>
      </c>
      <c r="BM37" s="294">
        <f t="shared" si="72"/>
        <v>20038036171.276962</v>
      </c>
      <c r="BN37" s="294">
        <f t="shared" si="72"/>
        <v>21398594922.287354</v>
      </c>
      <c r="BO37" s="294">
        <f t="shared" si="72"/>
        <v>21350532945.290169</v>
      </c>
      <c r="BP37" s="294">
        <f t="shared" si="72"/>
        <v>21516884708.1138</v>
      </c>
      <c r="BQ37" s="294">
        <f t="shared" si="72"/>
        <v>22629501884.081123</v>
      </c>
      <c r="BR37" s="294">
        <f t="shared" si="72"/>
        <v>23760976978.285179</v>
      </c>
      <c r="BS37" s="294">
        <f t="shared" si="72"/>
        <v>24949025827.19944</v>
      </c>
      <c r="BT37" s="299">
        <f>SUM(BK37:BS37)</f>
        <v>198689411802.51352</v>
      </c>
      <c r="BU37" s="300"/>
      <c r="BV37" s="288"/>
      <c r="BW37" s="288"/>
      <c r="BX37" s="301"/>
      <c r="BY37" s="298">
        <f t="shared" ref="BY37:CP37" si="73">+BY39+BY38</f>
        <v>27462433914.829643</v>
      </c>
      <c r="BZ37" s="294">
        <f t="shared" si="73"/>
        <v>34926357600.827637</v>
      </c>
      <c r="CA37" s="294">
        <f t="shared" si="73"/>
        <v>32147581184.49176</v>
      </c>
      <c r="CB37" s="294">
        <f t="shared" si="73"/>
        <v>34390977223.765854</v>
      </c>
      <c r="CC37" s="294">
        <f t="shared" si="73"/>
        <v>35225752535.032272</v>
      </c>
      <c r="CD37" s="294">
        <f t="shared" si="73"/>
        <v>36825141586.119598</v>
      </c>
      <c r="CE37" s="294">
        <f t="shared" si="73"/>
        <v>38270396050.350624</v>
      </c>
      <c r="CF37" s="294">
        <f t="shared" si="73"/>
        <v>39734508432.818375</v>
      </c>
      <c r="CG37" s="299">
        <f t="shared" si="73"/>
        <v>42355594569.996338</v>
      </c>
      <c r="CH37" s="298">
        <f t="shared" si="73"/>
        <v>9064122617.2793922</v>
      </c>
      <c r="CI37" s="294">
        <f t="shared" si="73"/>
        <v>10278810532.398399</v>
      </c>
      <c r="CJ37" s="294">
        <f t="shared" si="73"/>
        <v>12109545013.214798</v>
      </c>
      <c r="CK37" s="294">
        <f t="shared" si="73"/>
        <v>12992382301.4785</v>
      </c>
      <c r="CL37" s="294">
        <f t="shared" si="73"/>
        <v>13875219589.742104</v>
      </c>
      <c r="CM37" s="294">
        <f t="shared" si="73"/>
        <v>15308256878.005798</v>
      </c>
      <c r="CN37" s="294">
        <f t="shared" si="73"/>
        <v>15640894166.269501</v>
      </c>
      <c r="CO37" s="294">
        <f t="shared" si="73"/>
        <v>15973531454.533195</v>
      </c>
      <c r="CP37" s="294">
        <f t="shared" si="73"/>
        <v>17406568742.796898</v>
      </c>
      <c r="CQ37" s="299">
        <f>SUM(CH37:CP37)</f>
        <v>122649331295.7186</v>
      </c>
      <c r="CR37" s="300"/>
      <c r="CS37" s="302">
        <f>+CS39+CS38</f>
        <v>454300</v>
      </c>
      <c r="CT37" s="288"/>
      <c r="CU37" s="288"/>
      <c r="CV37" s="288"/>
      <c r="CW37" s="288"/>
      <c r="CX37" s="288"/>
      <c r="CY37" s="303">
        <f>+CY39</f>
        <v>122399466295.7186</v>
      </c>
      <c r="CZ37" s="293"/>
      <c r="DA37" s="304"/>
    </row>
    <row r="38" spans="1:105" ht="26.1" customHeight="1" x14ac:dyDescent="0.25">
      <c r="A38" s="143" t="s">
        <v>36</v>
      </c>
      <c r="B38" s="144" t="s">
        <v>694</v>
      </c>
      <c r="C38" s="143" t="s">
        <v>36</v>
      </c>
      <c r="D38" s="144" t="s">
        <v>355</v>
      </c>
      <c r="E38" s="59" t="s">
        <v>3</v>
      </c>
      <c r="F38" s="145"/>
      <c r="G38" s="60"/>
      <c r="H38" s="61"/>
      <c r="I38" s="62"/>
      <c r="J38" s="62"/>
      <c r="K38" s="147" t="s">
        <v>254</v>
      </c>
      <c r="L38" s="148" t="s">
        <v>255</v>
      </c>
      <c r="M38" s="149" t="s">
        <v>256</v>
      </c>
      <c r="O38" s="143" t="s">
        <v>36</v>
      </c>
      <c r="P38" s="150"/>
      <c r="Q38" s="145"/>
      <c r="R38" s="145"/>
      <c r="S38" s="145"/>
      <c r="T38" s="145"/>
      <c r="U38" s="145"/>
      <c r="V38" s="145"/>
      <c r="W38" s="145"/>
      <c r="X38" s="145"/>
      <c r="Y38" s="145"/>
      <c r="Z38" s="145"/>
      <c r="AA38" s="145"/>
      <c r="AB38" s="145"/>
      <c r="AC38" s="145"/>
      <c r="AD38" s="145"/>
      <c r="AE38" s="145"/>
      <c r="AF38" s="151"/>
      <c r="AG38" s="150"/>
      <c r="AH38" s="145"/>
      <c r="AI38" s="145"/>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254"/>
      <c r="BG38" s="150"/>
      <c r="BH38" s="154" t="s">
        <v>355</v>
      </c>
      <c r="BI38" s="155"/>
      <c r="BJ38" s="156"/>
      <c r="BK38" s="157"/>
      <c r="BL38" s="152"/>
      <c r="BM38" s="152"/>
      <c r="BN38" s="152"/>
      <c r="BO38" s="152"/>
      <c r="BP38" s="152"/>
      <c r="BQ38" s="152"/>
      <c r="BR38" s="152"/>
      <c r="BS38" s="152"/>
      <c r="BT38" s="156"/>
      <c r="BU38" s="158"/>
      <c r="BV38" s="145"/>
      <c r="BW38" s="145"/>
      <c r="BX38" s="159"/>
      <c r="BY38" s="157"/>
      <c r="BZ38" s="152"/>
      <c r="CA38" s="152"/>
      <c r="CB38" s="152"/>
      <c r="CC38" s="152"/>
      <c r="CD38" s="152"/>
      <c r="CE38" s="152"/>
      <c r="CF38" s="152"/>
      <c r="CG38" s="156"/>
      <c r="CH38" s="157"/>
      <c r="CI38" s="152"/>
      <c r="CJ38" s="152"/>
      <c r="CK38" s="152"/>
      <c r="CL38" s="152"/>
      <c r="CM38" s="152"/>
      <c r="CN38" s="152"/>
      <c r="CO38" s="152"/>
      <c r="CP38" s="152"/>
      <c r="CQ38" s="156"/>
      <c r="CR38" s="158"/>
      <c r="CS38" s="160"/>
      <c r="CT38" s="145"/>
      <c r="CU38" s="145"/>
      <c r="CV38" s="145"/>
      <c r="CW38" s="145"/>
      <c r="CX38" s="145"/>
      <c r="CY38" s="161"/>
      <c r="CZ38" s="151"/>
      <c r="DA38" s="162"/>
    </row>
    <row r="39" spans="1:105" ht="26.1" customHeight="1" x14ac:dyDescent="0.25">
      <c r="A39" s="143" t="s">
        <v>34</v>
      </c>
      <c r="B39" s="144" t="s">
        <v>695</v>
      </c>
      <c r="C39" s="143" t="s">
        <v>34</v>
      </c>
      <c r="D39" s="144" t="s">
        <v>355</v>
      </c>
      <c r="E39" s="59" t="s">
        <v>3</v>
      </c>
      <c r="F39" s="145"/>
      <c r="G39" s="60"/>
      <c r="H39" s="61"/>
      <c r="I39" s="62"/>
      <c r="J39" s="62"/>
      <c r="K39" s="147" t="s">
        <v>254</v>
      </c>
      <c r="L39" s="148" t="s">
        <v>255</v>
      </c>
      <c r="M39" s="149" t="s">
        <v>256</v>
      </c>
      <c r="O39" s="143" t="s">
        <v>34</v>
      </c>
      <c r="P39" s="150"/>
      <c r="Q39" s="145"/>
      <c r="R39" s="145"/>
      <c r="S39" s="145"/>
      <c r="T39" s="145"/>
      <c r="U39" s="145"/>
      <c r="V39" s="145"/>
      <c r="W39" s="145"/>
      <c r="X39" s="145"/>
      <c r="Y39" s="145"/>
      <c r="Z39" s="145"/>
      <c r="AA39" s="145"/>
      <c r="AB39" s="145"/>
      <c r="AC39" s="145"/>
      <c r="AD39" s="145"/>
      <c r="AE39" s="145"/>
      <c r="AF39" s="151"/>
      <c r="AG39" s="150"/>
      <c r="AH39" s="145"/>
      <c r="AI39" s="145"/>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254"/>
      <c r="BG39" s="150"/>
      <c r="BH39" s="154" t="s">
        <v>355</v>
      </c>
      <c r="BI39" s="155"/>
      <c r="BJ39" s="156">
        <f t="shared" ref="BJ39:BS39" si="74">SUM(BJ40)</f>
        <v>17583152041.885002</v>
      </c>
      <c r="BK39" s="157">
        <f t="shared" si="74"/>
        <v>18398311297.550251</v>
      </c>
      <c r="BL39" s="152">
        <f t="shared" si="74"/>
        <v>24647547068.429237</v>
      </c>
      <c r="BM39" s="152">
        <f t="shared" si="74"/>
        <v>20038036171.276962</v>
      </c>
      <c r="BN39" s="152">
        <f t="shared" si="74"/>
        <v>21398594922.287354</v>
      </c>
      <c r="BO39" s="152">
        <f t="shared" si="74"/>
        <v>21350532945.290169</v>
      </c>
      <c r="BP39" s="152">
        <f t="shared" si="74"/>
        <v>21516884708.1138</v>
      </c>
      <c r="BQ39" s="152">
        <f t="shared" si="74"/>
        <v>22629501884.081123</v>
      </c>
      <c r="BR39" s="152">
        <f t="shared" si="74"/>
        <v>23760976978.285179</v>
      </c>
      <c r="BS39" s="152">
        <f t="shared" si="74"/>
        <v>24949025827.19944</v>
      </c>
      <c r="BT39" s="156">
        <f>SUM(BK39:BS39)</f>
        <v>198689411802.51352</v>
      </c>
      <c r="BU39" s="158"/>
      <c r="BV39" s="145"/>
      <c r="BW39" s="145"/>
      <c r="BX39" s="159"/>
      <c r="BY39" s="157">
        <f t="shared" ref="BY39:CP39" si="75">SUM(BY40)</f>
        <v>27462433914.829643</v>
      </c>
      <c r="BZ39" s="152">
        <f t="shared" si="75"/>
        <v>34926357600.827637</v>
      </c>
      <c r="CA39" s="152">
        <f t="shared" si="75"/>
        <v>32147581184.49176</v>
      </c>
      <c r="CB39" s="152">
        <f t="shared" si="75"/>
        <v>34390977223.765854</v>
      </c>
      <c r="CC39" s="152">
        <f t="shared" si="75"/>
        <v>35225752535.032272</v>
      </c>
      <c r="CD39" s="152">
        <f t="shared" si="75"/>
        <v>36825141586.119598</v>
      </c>
      <c r="CE39" s="152">
        <f t="shared" si="75"/>
        <v>38270396050.350624</v>
      </c>
      <c r="CF39" s="152">
        <f t="shared" si="75"/>
        <v>39734508432.818375</v>
      </c>
      <c r="CG39" s="156">
        <f t="shared" si="75"/>
        <v>42355594569.996338</v>
      </c>
      <c r="CH39" s="157">
        <f t="shared" si="75"/>
        <v>9064122617.2793922</v>
      </c>
      <c r="CI39" s="152">
        <f t="shared" si="75"/>
        <v>10278810532.398399</v>
      </c>
      <c r="CJ39" s="152">
        <f t="shared" si="75"/>
        <v>12109545013.214798</v>
      </c>
      <c r="CK39" s="152">
        <f t="shared" si="75"/>
        <v>12992382301.4785</v>
      </c>
      <c r="CL39" s="152">
        <f t="shared" si="75"/>
        <v>13875219589.742104</v>
      </c>
      <c r="CM39" s="152">
        <f t="shared" si="75"/>
        <v>15308256878.005798</v>
      </c>
      <c r="CN39" s="152">
        <f t="shared" si="75"/>
        <v>15640894166.269501</v>
      </c>
      <c r="CO39" s="152">
        <f t="shared" si="75"/>
        <v>15973531454.533195</v>
      </c>
      <c r="CP39" s="152">
        <f t="shared" si="75"/>
        <v>17406568742.796898</v>
      </c>
      <c r="CQ39" s="156">
        <f t="shared" ref="CQ39:CQ45" si="76">SUM(CH39:CP39)</f>
        <v>122649331295.7186</v>
      </c>
      <c r="CR39" s="158"/>
      <c r="CS39" s="160">
        <f>SUM(CS40)</f>
        <v>454300</v>
      </c>
      <c r="CT39" s="145"/>
      <c r="CU39" s="145"/>
      <c r="CV39" s="145"/>
      <c r="CW39" s="145"/>
      <c r="CX39" s="145"/>
      <c r="CY39" s="161">
        <f>SUM(CY40)</f>
        <v>122399466295.7186</v>
      </c>
      <c r="CZ39" s="151"/>
      <c r="DA39" s="162"/>
    </row>
    <row r="40" spans="1:105" ht="26.1" customHeight="1" x14ac:dyDescent="0.25">
      <c r="A40" s="204" t="s">
        <v>35</v>
      </c>
      <c r="B40" s="205" t="s">
        <v>696</v>
      </c>
      <c r="C40" s="204" t="s">
        <v>35</v>
      </c>
      <c r="D40" s="205" t="s">
        <v>355</v>
      </c>
      <c r="E40" s="47" t="s">
        <v>3</v>
      </c>
      <c r="F40" s="48" t="s">
        <v>410</v>
      </c>
      <c r="G40" s="48" t="s">
        <v>414</v>
      </c>
      <c r="H40" s="48" t="s">
        <v>110</v>
      </c>
      <c r="I40" s="49" t="s">
        <v>245</v>
      </c>
      <c r="J40" s="49" t="s">
        <v>233</v>
      </c>
      <c r="K40" s="206"/>
      <c r="L40" s="207"/>
      <c r="M40" s="208"/>
      <c r="O40" s="204" t="s">
        <v>35</v>
      </c>
      <c r="P40" s="47" t="s">
        <v>3</v>
      </c>
      <c r="Q40" s="48" t="s">
        <v>410</v>
      </c>
      <c r="R40" s="48" t="s">
        <v>314</v>
      </c>
      <c r="S40" s="48" t="s">
        <v>314</v>
      </c>
      <c r="T40" s="48" t="s">
        <v>314</v>
      </c>
      <c r="U40" s="48" t="s">
        <v>307</v>
      </c>
      <c r="V40" s="48"/>
      <c r="W40" s="48"/>
      <c r="X40" s="48" t="s">
        <v>314</v>
      </c>
      <c r="Y40" s="48"/>
      <c r="Z40" s="48"/>
      <c r="AA40" s="48" t="s">
        <v>314</v>
      </c>
      <c r="AB40" s="48"/>
      <c r="AC40" s="48" t="s">
        <v>314</v>
      </c>
      <c r="AD40" s="48"/>
      <c r="AE40" s="48"/>
      <c r="AF40" s="209"/>
      <c r="AG40" s="47" t="s">
        <v>308</v>
      </c>
      <c r="AH40" s="210" t="s">
        <v>319</v>
      </c>
      <c r="AI40" s="68" t="s">
        <v>411</v>
      </c>
      <c r="AJ40" s="170">
        <v>310357.20000000007</v>
      </c>
      <c r="AK40" s="170">
        <v>352008.94249999989</v>
      </c>
      <c r="AL40" s="170">
        <v>353431.50999999989</v>
      </c>
      <c r="AM40" s="170">
        <v>357933.41</v>
      </c>
      <c r="AN40" s="170">
        <v>341370.5</v>
      </c>
      <c r="AO40" s="170">
        <v>318870.5</v>
      </c>
      <c r="AP40" s="170">
        <v>261905.99999999997</v>
      </c>
      <c r="AQ40" s="170">
        <v>300000</v>
      </c>
      <c r="AR40" s="170">
        <v>300000</v>
      </c>
      <c r="AS40" s="170">
        <v>300000</v>
      </c>
      <c r="AT40" s="170"/>
      <c r="AU40" s="170"/>
      <c r="AV40" s="170">
        <f t="shared" ref="AV40:BD40" si="77">+AK40+233000</f>
        <v>585008.94249999989</v>
      </c>
      <c r="AW40" s="170">
        <f t="shared" si="77"/>
        <v>586431.50999999989</v>
      </c>
      <c r="AX40" s="170">
        <f t="shared" si="77"/>
        <v>590933.40999999992</v>
      </c>
      <c r="AY40" s="170">
        <f t="shared" si="77"/>
        <v>574370.5</v>
      </c>
      <c r="AZ40" s="170">
        <f t="shared" si="77"/>
        <v>551870.5</v>
      </c>
      <c r="BA40" s="170">
        <f t="shared" si="77"/>
        <v>494906</v>
      </c>
      <c r="BB40" s="170">
        <f t="shared" si="77"/>
        <v>533000</v>
      </c>
      <c r="BC40" s="170">
        <f t="shared" si="77"/>
        <v>533000</v>
      </c>
      <c r="BD40" s="170">
        <f t="shared" si="77"/>
        <v>533000</v>
      </c>
      <c r="BE40" s="170"/>
      <c r="BF40" s="260"/>
      <c r="BG40" s="206" t="s">
        <v>334</v>
      </c>
      <c r="BH40" s="68" t="s">
        <v>312</v>
      </c>
      <c r="BI40" s="48" t="s">
        <v>323</v>
      </c>
      <c r="BJ40" s="305">
        <v>17583152041.885002</v>
      </c>
      <c r="BK40" s="212">
        <v>18398311297.550251</v>
      </c>
      <c r="BL40" s="170">
        <v>24647547068.429237</v>
      </c>
      <c r="BM40" s="170">
        <v>20038036171.276962</v>
      </c>
      <c r="BN40" s="170">
        <v>21398594922.287354</v>
      </c>
      <c r="BO40" s="170">
        <v>21350532945.290169</v>
      </c>
      <c r="BP40" s="170">
        <v>21516884708.1138</v>
      </c>
      <c r="BQ40" s="170">
        <v>22629501884.081123</v>
      </c>
      <c r="BR40" s="170">
        <v>23760976978.285179</v>
      </c>
      <c r="BS40" s="170">
        <v>24949025827.19944</v>
      </c>
      <c r="BT40" s="213">
        <f>SUM(BK40:BS40)</f>
        <v>198689411802.51352</v>
      </c>
      <c r="BU40" s="270">
        <v>0.94</v>
      </c>
      <c r="BV40" s="215"/>
      <c r="BW40" s="215">
        <v>0.06</v>
      </c>
      <c r="BX40" s="243" t="s">
        <v>495</v>
      </c>
      <c r="BY40" s="212">
        <v>27462433914.829643</v>
      </c>
      <c r="BZ40" s="170">
        <v>34926357600.827637</v>
      </c>
      <c r="CA40" s="170">
        <v>32147581184.49176</v>
      </c>
      <c r="CB40" s="170">
        <v>34390977223.765854</v>
      </c>
      <c r="CC40" s="170">
        <v>35225752535.032272</v>
      </c>
      <c r="CD40" s="170">
        <v>36825141586.119598</v>
      </c>
      <c r="CE40" s="170">
        <v>38270396050.350624</v>
      </c>
      <c r="CF40" s="170">
        <v>39734508432.818375</v>
      </c>
      <c r="CG40" s="213">
        <v>42355594569.996338</v>
      </c>
      <c r="CH40" s="212">
        <f>+BY40-BK40</f>
        <v>9064122617.2793922</v>
      </c>
      <c r="CI40" s="170">
        <f t="shared" ref="CI40:CP40" si="78">+BZ40-BL40</f>
        <v>10278810532.398399</v>
      </c>
      <c r="CJ40" s="170">
        <f t="shared" si="78"/>
        <v>12109545013.214798</v>
      </c>
      <c r="CK40" s="170">
        <f t="shared" si="78"/>
        <v>12992382301.4785</v>
      </c>
      <c r="CL40" s="170">
        <f t="shared" si="78"/>
        <v>13875219589.742104</v>
      </c>
      <c r="CM40" s="170">
        <f t="shared" si="78"/>
        <v>15308256878.005798</v>
      </c>
      <c r="CN40" s="170">
        <f t="shared" si="78"/>
        <v>15640894166.269501</v>
      </c>
      <c r="CO40" s="170">
        <f t="shared" si="78"/>
        <v>15973531454.533195</v>
      </c>
      <c r="CP40" s="170">
        <f t="shared" si="78"/>
        <v>17406568742.796898</v>
      </c>
      <c r="CQ40" s="213">
        <f t="shared" si="76"/>
        <v>122649331295.7186</v>
      </c>
      <c r="CR40" s="219"/>
      <c r="CS40" s="220">
        <f>190000+264300</f>
        <v>454300</v>
      </c>
      <c r="CT40" s="220" t="s">
        <v>335</v>
      </c>
      <c r="CU40" s="210"/>
      <c r="CV40" s="210"/>
      <c r="CW40" s="210"/>
      <c r="CX40" s="210"/>
      <c r="CY40" s="221">
        <f>+CQ40-CS40*550</f>
        <v>122399466295.7186</v>
      </c>
      <c r="CZ40" s="222"/>
      <c r="DA40" s="246"/>
    </row>
    <row r="41" spans="1:105" ht="26.1" customHeight="1" x14ac:dyDescent="0.25">
      <c r="A41" s="286" t="s">
        <v>38</v>
      </c>
      <c r="B41" s="287" t="s">
        <v>697</v>
      </c>
      <c r="C41" s="286" t="s">
        <v>38</v>
      </c>
      <c r="D41" s="287"/>
      <c r="E41" s="63" t="s">
        <v>4</v>
      </c>
      <c r="F41" s="288"/>
      <c r="G41" s="64"/>
      <c r="H41" s="65"/>
      <c r="I41" s="66"/>
      <c r="J41" s="66"/>
      <c r="K41" s="289"/>
      <c r="L41" s="290"/>
      <c r="M41" s="291"/>
      <c r="O41" s="286" t="s">
        <v>38</v>
      </c>
      <c r="P41" s="292"/>
      <c r="Q41" s="288"/>
      <c r="R41" s="288"/>
      <c r="S41" s="288"/>
      <c r="T41" s="288"/>
      <c r="U41" s="288"/>
      <c r="V41" s="288"/>
      <c r="W41" s="288"/>
      <c r="X41" s="288"/>
      <c r="Y41" s="288"/>
      <c r="Z41" s="288"/>
      <c r="AA41" s="288"/>
      <c r="AB41" s="288"/>
      <c r="AC41" s="288"/>
      <c r="AD41" s="288"/>
      <c r="AE41" s="288"/>
      <c r="AF41" s="293"/>
      <c r="AG41" s="292"/>
      <c r="AH41" s="288"/>
      <c r="AI41" s="288"/>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5"/>
      <c r="BG41" s="292"/>
      <c r="BH41" s="288"/>
      <c r="BI41" s="296"/>
      <c r="BJ41" s="297">
        <f t="shared" ref="BJ41:BS41" si="79">+BJ42+BJ46+BJ48+BJ50</f>
        <v>80400000</v>
      </c>
      <c r="BK41" s="298">
        <f t="shared" si="79"/>
        <v>171338461.53846154</v>
      </c>
      <c r="BL41" s="294">
        <f t="shared" si="79"/>
        <v>235530769.23076922</v>
      </c>
      <c r="BM41" s="294">
        <f t="shared" si="79"/>
        <v>235530769.23076922</v>
      </c>
      <c r="BN41" s="294">
        <f t="shared" si="79"/>
        <v>235530769.23076922</v>
      </c>
      <c r="BO41" s="294">
        <f t="shared" si="79"/>
        <v>235530769.23076922</v>
      </c>
      <c r="BP41" s="294">
        <f t="shared" si="79"/>
        <v>235530769.23076922</v>
      </c>
      <c r="BQ41" s="294">
        <f t="shared" si="79"/>
        <v>232230769.23076922</v>
      </c>
      <c r="BR41" s="294">
        <f t="shared" si="79"/>
        <v>232230769.23076922</v>
      </c>
      <c r="BS41" s="294">
        <f t="shared" si="79"/>
        <v>232230769.23076922</v>
      </c>
      <c r="BT41" s="299">
        <f>SUM(BK41:BS41)</f>
        <v>2045684615.3846149</v>
      </c>
      <c r="BU41" s="300"/>
      <c r="BV41" s="288"/>
      <c r="BW41" s="288"/>
      <c r="BX41" s="301"/>
      <c r="BY41" s="298">
        <f t="shared" ref="BY41:CI41" si="80">+BY42+BY46+BY48+BY50</f>
        <v>378134615.38461542</v>
      </c>
      <c r="BZ41" s="294">
        <f t="shared" si="80"/>
        <v>523271153.84615386</v>
      </c>
      <c r="CA41" s="294">
        <f t="shared" si="80"/>
        <v>527271153.84615386</v>
      </c>
      <c r="CB41" s="294">
        <f t="shared" si="80"/>
        <v>518771153.84615386</v>
      </c>
      <c r="CC41" s="294">
        <f t="shared" si="80"/>
        <v>510771153.84615386</v>
      </c>
      <c r="CD41" s="294">
        <f t="shared" si="80"/>
        <v>510771153.84615386</v>
      </c>
      <c r="CE41" s="294">
        <f t="shared" si="80"/>
        <v>510771153.84615386</v>
      </c>
      <c r="CF41" s="294">
        <f t="shared" si="80"/>
        <v>510771153.84615386</v>
      </c>
      <c r="CG41" s="299">
        <f t="shared" si="80"/>
        <v>510771153.84615386</v>
      </c>
      <c r="CH41" s="298">
        <f t="shared" si="80"/>
        <v>206796153.84615386</v>
      </c>
      <c r="CI41" s="294">
        <f t="shared" si="80"/>
        <v>287740384.61538464</v>
      </c>
      <c r="CJ41" s="294">
        <f t="shared" ref="CJ41:CP41" si="81">+CJ42+CJ46+CJ48+CJ50</f>
        <v>291740384.61538464</v>
      </c>
      <c r="CK41" s="294">
        <f t="shared" si="81"/>
        <v>283240384.61538464</v>
      </c>
      <c r="CL41" s="294">
        <f t="shared" si="81"/>
        <v>275240384.61538464</v>
      </c>
      <c r="CM41" s="294">
        <f t="shared" si="81"/>
        <v>275240384.61538464</v>
      </c>
      <c r="CN41" s="294">
        <f t="shared" si="81"/>
        <v>278540384.61538464</v>
      </c>
      <c r="CO41" s="294">
        <f t="shared" si="81"/>
        <v>278540384.61538464</v>
      </c>
      <c r="CP41" s="294">
        <f t="shared" si="81"/>
        <v>278540384.61538464</v>
      </c>
      <c r="CQ41" s="299">
        <f t="shared" si="76"/>
        <v>2455619230.7692308</v>
      </c>
      <c r="CR41" s="300"/>
      <c r="CS41" s="302">
        <f>+CS42+CS46+CS48+CS50</f>
        <v>99000</v>
      </c>
      <c r="CT41" s="288"/>
      <c r="CU41" s="288"/>
      <c r="CV41" s="288"/>
      <c r="CW41" s="288"/>
      <c r="CX41" s="288"/>
      <c r="CY41" s="303">
        <f>+CY42+CY46+CY48+CY50</f>
        <v>2401169230.7692308</v>
      </c>
      <c r="CZ41" s="293"/>
      <c r="DA41" s="304"/>
    </row>
    <row r="42" spans="1:105" ht="26.1" customHeight="1" x14ac:dyDescent="0.25">
      <c r="A42" s="143" t="s">
        <v>358</v>
      </c>
      <c r="B42" s="144" t="s">
        <v>698</v>
      </c>
      <c r="C42" s="143" t="s">
        <v>358</v>
      </c>
      <c r="D42" s="144" t="s">
        <v>357</v>
      </c>
      <c r="E42" s="59" t="s">
        <v>4</v>
      </c>
      <c r="F42" s="145"/>
      <c r="G42" s="60"/>
      <c r="H42" s="61"/>
      <c r="I42" s="62"/>
      <c r="J42" s="62"/>
      <c r="K42" s="147" t="s">
        <v>255</v>
      </c>
      <c r="L42" s="148" t="s">
        <v>256</v>
      </c>
      <c r="M42" s="149"/>
      <c r="O42" s="143" t="s">
        <v>358</v>
      </c>
      <c r="P42" s="150"/>
      <c r="Q42" s="145"/>
      <c r="R42" s="145"/>
      <c r="S42" s="145"/>
      <c r="T42" s="145"/>
      <c r="U42" s="145"/>
      <c r="V42" s="145"/>
      <c r="W42" s="145"/>
      <c r="X42" s="145"/>
      <c r="Y42" s="145"/>
      <c r="Z42" s="145"/>
      <c r="AA42" s="145"/>
      <c r="AB42" s="145"/>
      <c r="AC42" s="145"/>
      <c r="AD42" s="145"/>
      <c r="AE42" s="145"/>
      <c r="AF42" s="151"/>
      <c r="AG42" s="150"/>
      <c r="AH42" s="145"/>
      <c r="AI42" s="145"/>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254"/>
      <c r="BG42" s="150"/>
      <c r="BH42" s="154" t="s">
        <v>357</v>
      </c>
      <c r="BI42" s="155"/>
      <c r="BJ42" s="156">
        <f t="shared" ref="BJ42:BS42" si="82">SUM(BJ43:BJ45)</f>
        <v>50400000</v>
      </c>
      <c r="BK42" s="157">
        <f t="shared" si="82"/>
        <v>145938461.53846154</v>
      </c>
      <c r="BL42" s="152">
        <f t="shared" si="82"/>
        <v>224530769.23076922</v>
      </c>
      <c r="BM42" s="152">
        <f t="shared" si="82"/>
        <v>224530769.23076922</v>
      </c>
      <c r="BN42" s="152">
        <f t="shared" si="82"/>
        <v>224530769.23076922</v>
      </c>
      <c r="BO42" s="152">
        <f t="shared" si="82"/>
        <v>224530769.23076922</v>
      </c>
      <c r="BP42" s="152">
        <f t="shared" si="82"/>
        <v>224530769.23076922</v>
      </c>
      <c r="BQ42" s="152">
        <f t="shared" si="82"/>
        <v>221230769.23076922</v>
      </c>
      <c r="BR42" s="152">
        <f t="shared" si="82"/>
        <v>221230769.23076922</v>
      </c>
      <c r="BS42" s="152">
        <f t="shared" si="82"/>
        <v>221230769.23076922</v>
      </c>
      <c r="BT42" s="156">
        <f>SUM(BK42:BS42)</f>
        <v>1932284615.3846149</v>
      </c>
      <c r="BU42" s="158"/>
      <c r="BV42" s="145"/>
      <c r="BW42" s="145"/>
      <c r="BX42" s="159"/>
      <c r="BY42" s="157">
        <f t="shared" ref="BY42:CP42" si="83">SUM(BY43:BY45)</f>
        <v>357934615.38461542</v>
      </c>
      <c r="BZ42" s="152">
        <f t="shared" si="83"/>
        <v>506471153.84615386</v>
      </c>
      <c r="CA42" s="152">
        <f t="shared" si="83"/>
        <v>500971153.84615386</v>
      </c>
      <c r="CB42" s="152">
        <f t="shared" si="83"/>
        <v>489971153.84615386</v>
      </c>
      <c r="CC42" s="152">
        <f t="shared" si="83"/>
        <v>489971153.84615386</v>
      </c>
      <c r="CD42" s="152">
        <f t="shared" si="83"/>
        <v>489971153.84615386</v>
      </c>
      <c r="CE42" s="152">
        <f t="shared" si="83"/>
        <v>489971153.84615386</v>
      </c>
      <c r="CF42" s="152">
        <f t="shared" si="83"/>
        <v>489971153.84615386</v>
      </c>
      <c r="CG42" s="156">
        <f t="shared" si="83"/>
        <v>489971153.84615386</v>
      </c>
      <c r="CH42" s="157">
        <f t="shared" si="83"/>
        <v>211996153.84615386</v>
      </c>
      <c r="CI42" s="152">
        <f t="shared" si="83"/>
        <v>281940384.61538464</v>
      </c>
      <c r="CJ42" s="152">
        <f t="shared" si="83"/>
        <v>276440384.61538464</v>
      </c>
      <c r="CK42" s="152">
        <f t="shared" si="83"/>
        <v>265440384.61538464</v>
      </c>
      <c r="CL42" s="152">
        <f t="shared" si="83"/>
        <v>265440384.61538464</v>
      </c>
      <c r="CM42" s="152">
        <f t="shared" si="83"/>
        <v>265440384.61538464</v>
      </c>
      <c r="CN42" s="152">
        <f t="shared" si="83"/>
        <v>268740384.61538464</v>
      </c>
      <c r="CO42" s="152">
        <f t="shared" si="83"/>
        <v>268740384.61538464</v>
      </c>
      <c r="CP42" s="152">
        <f t="shared" si="83"/>
        <v>268740384.61538464</v>
      </c>
      <c r="CQ42" s="156">
        <f t="shared" si="76"/>
        <v>2372919230.7692308</v>
      </c>
      <c r="CR42" s="158"/>
      <c r="CS42" s="160">
        <f>SUM(CS43:CS45)</f>
        <v>99000</v>
      </c>
      <c r="CT42" s="145"/>
      <c r="CU42" s="145"/>
      <c r="CV42" s="145"/>
      <c r="CW42" s="145"/>
      <c r="CX42" s="145"/>
      <c r="CY42" s="152">
        <f>SUM(CY43:CY45)</f>
        <v>2318469230.7692308</v>
      </c>
      <c r="CZ42" s="151"/>
      <c r="DA42" s="162"/>
    </row>
    <row r="43" spans="1:105" ht="26.1" customHeight="1" x14ac:dyDescent="0.25">
      <c r="A43" s="204" t="s">
        <v>39</v>
      </c>
      <c r="B43" s="205" t="s">
        <v>699</v>
      </c>
      <c r="C43" s="204" t="s">
        <v>367</v>
      </c>
      <c r="D43" s="205" t="s">
        <v>357</v>
      </c>
      <c r="E43" s="47" t="s">
        <v>4</v>
      </c>
      <c r="F43" s="48" t="s">
        <v>405</v>
      </c>
      <c r="G43" s="48" t="s">
        <v>397</v>
      </c>
      <c r="H43" s="48" t="s">
        <v>112</v>
      </c>
      <c r="I43" s="49"/>
      <c r="J43" s="49" t="s">
        <v>230</v>
      </c>
      <c r="K43" s="206"/>
      <c r="L43" s="207"/>
      <c r="M43" s="208"/>
      <c r="O43" s="204" t="s">
        <v>367</v>
      </c>
      <c r="P43" s="47" t="s">
        <v>4</v>
      </c>
      <c r="Q43" s="48" t="s">
        <v>11</v>
      </c>
      <c r="R43" s="48"/>
      <c r="S43" s="48" t="s">
        <v>314</v>
      </c>
      <c r="T43" s="48" t="s">
        <v>314</v>
      </c>
      <c r="U43" s="48"/>
      <c r="V43" s="48"/>
      <c r="W43" s="48"/>
      <c r="X43" s="48" t="s">
        <v>307</v>
      </c>
      <c r="Y43" s="48"/>
      <c r="Z43" s="48"/>
      <c r="AA43" s="48" t="s">
        <v>314</v>
      </c>
      <c r="AB43" s="48"/>
      <c r="AC43" s="48"/>
      <c r="AD43" s="48"/>
      <c r="AE43" s="48"/>
      <c r="AF43" s="209"/>
      <c r="AG43" s="47" t="s">
        <v>308</v>
      </c>
      <c r="AH43" s="210" t="s">
        <v>309</v>
      </c>
      <c r="AI43" s="68" t="s">
        <v>368</v>
      </c>
      <c r="AJ43" s="170">
        <v>6</v>
      </c>
      <c r="AK43" s="170">
        <v>3</v>
      </c>
      <c r="AL43" s="170">
        <v>3</v>
      </c>
      <c r="AM43" s="170">
        <v>3</v>
      </c>
      <c r="AN43" s="170">
        <v>3</v>
      </c>
      <c r="AO43" s="170">
        <v>3</v>
      </c>
      <c r="AP43" s="170">
        <v>3</v>
      </c>
      <c r="AQ43" s="170">
        <v>3</v>
      </c>
      <c r="AR43" s="170">
        <v>3</v>
      </c>
      <c r="AS43" s="170">
        <v>3</v>
      </c>
      <c r="AT43" s="170"/>
      <c r="AU43" s="170"/>
      <c r="AV43" s="170">
        <v>23</v>
      </c>
      <c r="AW43" s="170">
        <v>23</v>
      </c>
      <c r="AX43" s="170">
        <v>23</v>
      </c>
      <c r="AY43" s="170">
        <v>23</v>
      </c>
      <c r="AZ43" s="170">
        <v>23</v>
      </c>
      <c r="BA43" s="170">
        <v>23</v>
      </c>
      <c r="BB43" s="170">
        <v>23</v>
      </c>
      <c r="BC43" s="170">
        <v>23</v>
      </c>
      <c r="BD43" s="170">
        <v>23</v>
      </c>
      <c r="BE43" s="170"/>
      <c r="BF43" s="170"/>
      <c r="BG43" s="206" t="s">
        <v>330</v>
      </c>
      <c r="BH43" s="415" t="s">
        <v>423</v>
      </c>
      <c r="BI43" s="48" t="s">
        <v>323</v>
      </c>
      <c r="BJ43" s="269">
        <f>(6*15000)*560</f>
        <v>50400000</v>
      </c>
      <c r="BK43" s="307">
        <f>(AK43*15000)*550</f>
        <v>24750000</v>
      </c>
      <c r="BL43" s="252">
        <f>((AL43*15000)*550)</f>
        <v>24750000</v>
      </c>
      <c r="BM43" s="252">
        <f t="shared" ref="BM43:BS43" si="84">((AM43*15000)*550)</f>
        <v>24750000</v>
      </c>
      <c r="BN43" s="252">
        <f t="shared" si="84"/>
        <v>24750000</v>
      </c>
      <c r="BO43" s="252">
        <f t="shared" si="84"/>
        <v>24750000</v>
      </c>
      <c r="BP43" s="252">
        <f t="shared" si="84"/>
        <v>24750000</v>
      </c>
      <c r="BQ43" s="252">
        <f t="shared" si="84"/>
        <v>24750000</v>
      </c>
      <c r="BR43" s="252">
        <f t="shared" si="84"/>
        <v>24750000</v>
      </c>
      <c r="BS43" s="252">
        <f t="shared" si="84"/>
        <v>24750000</v>
      </c>
      <c r="BT43" s="213">
        <f>SUM(BK43:BS43)</f>
        <v>222750000</v>
      </c>
      <c r="BU43" s="214"/>
      <c r="BV43" s="48"/>
      <c r="BW43" s="308">
        <v>1</v>
      </c>
      <c r="BX43" s="216" t="s">
        <v>496</v>
      </c>
      <c r="BY43" s="212">
        <f>AV43*15000*550</f>
        <v>189750000</v>
      </c>
      <c r="BZ43" s="170">
        <f>AW43*15000*550</f>
        <v>189750000</v>
      </c>
      <c r="CA43" s="170">
        <f t="shared" ref="CA43:CG43" si="85">AX43*15000*550</f>
        <v>189750000</v>
      </c>
      <c r="CB43" s="170">
        <f t="shared" si="85"/>
        <v>189750000</v>
      </c>
      <c r="CC43" s="170">
        <f t="shared" si="85"/>
        <v>189750000</v>
      </c>
      <c r="CD43" s="170">
        <f t="shared" si="85"/>
        <v>189750000</v>
      </c>
      <c r="CE43" s="170">
        <f t="shared" si="85"/>
        <v>189750000</v>
      </c>
      <c r="CF43" s="170">
        <f t="shared" si="85"/>
        <v>189750000</v>
      </c>
      <c r="CG43" s="213">
        <f t="shared" si="85"/>
        <v>189750000</v>
      </c>
      <c r="CH43" s="217">
        <f>+BY43-BK43</f>
        <v>165000000</v>
      </c>
      <c r="CI43" s="217">
        <f t="shared" ref="CI43:CP45" si="86">+BZ43-BL43</f>
        <v>165000000</v>
      </c>
      <c r="CJ43" s="217">
        <f t="shared" si="86"/>
        <v>165000000</v>
      </c>
      <c r="CK43" s="217">
        <f t="shared" si="86"/>
        <v>165000000</v>
      </c>
      <c r="CL43" s="217">
        <f t="shared" si="86"/>
        <v>165000000</v>
      </c>
      <c r="CM43" s="217">
        <f t="shared" si="86"/>
        <v>165000000</v>
      </c>
      <c r="CN43" s="217">
        <f t="shared" si="86"/>
        <v>165000000</v>
      </c>
      <c r="CO43" s="217">
        <f t="shared" si="86"/>
        <v>165000000</v>
      </c>
      <c r="CP43" s="217">
        <f t="shared" si="86"/>
        <v>165000000</v>
      </c>
      <c r="CQ43" s="218">
        <f t="shared" si="76"/>
        <v>1485000000</v>
      </c>
      <c r="CR43" s="219"/>
      <c r="CS43" s="220">
        <v>99000</v>
      </c>
      <c r="CT43" s="220" t="s">
        <v>369</v>
      </c>
      <c r="CU43" s="210"/>
      <c r="CV43" s="210"/>
      <c r="CW43" s="210"/>
      <c r="CX43" s="210"/>
      <c r="CY43" s="221">
        <f>+CQ43-CS43*550</f>
        <v>1430550000</v>
      </c>
      <c r="CZ43" s="222"/>
      <c r="DA43" s="258"/>
    </row>
    <row r="44" spans="1:105" ht="26.1" customHeight="1" x14ac:dyDescent="0.25">
      <c r="A44" s="163" t="s">
        <v>40</v>
      </c>
      <c r="B44" s="204" t="s">
        <v>700</v>
      </c>
      <c r="C44" s="204" t="s">
        <v>472</v>
      </c>
      <c r="D44" s="164" t="s">
        <v>357</v>
      </c>
      <c r="E44" s="74" t="s">
        <v>4</v>
      </c>
      <c r="F44" s="75" t="s">
        <v>405</v>
      </c>
      <c r="G44" s="75" t="s">
        <v>397</v>
      </c>
      <c r="H44" s="88" t="s">
        <v>113</v>
      </c>
      <c r="I44" s="49"/>
      <c r="J44" s="49" t="s">
        <v>230</v>
      </c>
      <c r="K44" s="206"/>
      <c r="L44" s="207"/>
      <c r="M44" s="208"/>
      <c r="O44" s="204" t="s">
        <v>472</v>
      </c>
      <c r="P44" s="47" t="s">
        <v>4</v>
      </c>
      <c r="Q44" s="48" t="s">
        <v>444</v>
      </c>
      <c r="R44" s="48" t="s">
        <v>314</v>
      </c>
      <c r="S44" s="48" t="s">
        <v>314</v>
      </c>
      <c r="T44" s="48" t="s">
        <v>314</v>
      </c>
      <c r="U44" s="48"/>
      <c r="V44" s="48" t="s">
        <v>314</v>
      </c>
      <c r="W44" s="48"/>
      <c r="X44" s="48" t="s">
        <v>307</v>
      </c>
      <c r="Y44" s="48"/>
      <c r="Z44" s="48"/>
      <c r="AA44" s="48"/>
      <c r="AB44" s="48"/>
      <c r="AC44" s="48"/>
      <c r="AD44" s="48"/>
      <c r="AE44" s="48"/>
      <c r="AF44" s="209"/>
      <c r="AG44" s="47" t="s">
        <v>315</v>
      </c>
      <c r="AH44" s="210" t="s">
        <v>319</v>
      </c>
      <c r="AI44" s="68" t="s">
        <v>445</v>
      </c>
      <c r="AJ44" s="170">
        <v>1</v>
      </c>
      <c r="AK44" s="170">
        <v>0</v>
      </c>
      <c r="AL44" s="170">
        <v>0</v>
      </c>
      <c r="AM44" s="170">
        <v>0</v>
      </c>
      <c r="AN44" s="170">
        <v>0</v>
      </c>
      <c r="AO44" s="170">
        <v>0</v>
      </c>
      <c r="AP44" s="170">
        <v>0</v>
      </c>
      <c r="AQ44" s="170">
        <v>0</v>
      </c>
      <c r="AR44" s="170">
        <v>0</v>
      </c>
      <c r="AS44" s="170">
        <v>1</v>
      </c>
      <c r="AT44" s="170"/>
      <c r="AU44" s="170"/>
      <c r="AV44" s="170">
        <v>0</v>
      </c>
      <c r="AW44" s="170">
        <v>0</v>
      </c>
      <c r="AX44" s="170">
        <v>0</v>
      </c>
      <c r="AY44" s="170">
        <v>1</v>
      </c>
      <c r="AZ44" s="170">
        <v>0</v>
      </c>
      <c r="BA44" s="170">
        <v>0</v>
      </c>
      <c r="BB44" s="170">
        <v>0</v>
      </c>
      <c r="BC44" s="170">
        <v>0</v>
      </c>
      <c r="BD44" s="170">
        <v>0</v>
      </c>
      <c r="BE44" s="170"/>
      <c r="BF44" s="170"/>
      <c r="BG44" s="206" t="s">
        <v>446</v>
      </c>
      <c r="BH44" s="415" t="s">
        <v>349</v>
      </c>
      <c r="BI44" s="48" t="s">
        <v>313</v>
      </c>
      <c r="BJ44" s="211"/>
      <c r="BK44" s="212">
        <f t="shared" ref="BK44:BP44" si="87">3*2000*550</f>
        <v>3300000</v>
      </c>
      <c r="BL44" s="170">
        <f t="shared" si="87"/>
        <v>3300000</v>
      </c>
      <c r="BM44" s="170">
        <f t="shared" si="87"/>
        <v>3300000</v>
      </c>
      <c r="BN44" s="170">
        <f t="shared" si="87"/>
        <v>3300000</v>
      </c>
      <c r="BO44" s="170">
        <f t="shared" si="87"/>
        <v>3300000</v>
      </c>
      <c r="BP44" s="170">
        <f t="shared" si="87"/>
        <v>3300000</v>
      </c>
      <c r="BQ44" s="170"/>
      <c r="BR44" s="170"/>
      <c r="BS44" s="170"/>
      <c r="BT44" s="213">
        <f t="shared" ref="BT44:BT55" si="88">SUM(BK44:BS44)</f>
        <v>19800000</v>
      </c>
      <c r="BU44" s="214"/>
      <c r="BV44" s="48"/>
      <c r="BW44" s="215">
        <v>1</v>
      </c>
      <c r="BX44" s="216"/>
      <c r="BY44" s="212">
        <f>5*2000*550</f>
        <v>5500000</v>
      </c>
      <c r="BZ44" s="170">
        <f>15*2000*550</f>
        <v>16500000</v>
      </c>
      <c r="CA44" s="170">
        <f>20000*550</f>
        <v>11000000</v>
      </c>
      <c r="CB44" s="170">
        <v>0</v>
      </c>
      <c r="CC44" s="170">
        <v>0</v>
      </c>
      <c r="CD44" s="170">
        <v>0</v>
      </c>
      <c r="CE44" s="170">
        <v>0</v>
      </c>
      <c r="CF44" s="170">
        <v>0</v>
      </c>
      <c r="CG44" s="213">
        <v>0</v>
      </c>
      <c r="CH44" s="217">
        <f>+BY44-BK44</f>
        <v>2200000</v>
      </c>
      <c r="CI44" s="170">
        <f>+BZ44-BL44</f>
        <v>13200000</v>
      </c>
      <c r="CJ44" s="170">
        <f t="shared" si="86"/>
        <v>7700000</v>
      </c>
      <c r="CK44" s="170">
        <f t="shared" si="86"/>
        <v>-3300000</v>
      </c>
      <c r="CL44" s="170">
        <f t="shared" si="86"/>
        <v>-3300000</v>
      </c>
      <c r="CM44" s="170">
        <f t="shared" si="86"/>
        <v>-3300000</v>
      </c>
      <c r="CN44" s="170">
        <f t="shared" si="86"/>
        <v>0</v>
      </c>
      <c r="CO44" s="170">
        <f t="shared" si="86"/>
        <v>0</v>
      </c>
      <c r="CP44" s="170">
        <f t="shared" si="86"/>
        <v>0</v>
      </c>
      <c r="CQ44" s="218">
        <f t="shared" si="76"/>
        <v>13200000</v>
      </c>
      <c r="CR44" s="219"/>
      <c r="CS44" s="220"/>
      <c r="CT44" s="220"/>
      <c r="CU44" s="210"/>
      <c r="CV44" s="210"/>
      <c r="CW44" s="210"/>
      <c r="CX44" s="210"/>
      <c r="CY44" s="221">
        <f>+CQ44-CS44*550</f>
        <v>13200000</v>
      </c>
      <c r="CZ44" s="222"/>
      <c r="DA44" s="309"/>
    </row>
    <row r="45" spans="1:105" ht="26.1" customHeight="1" x14ac:dyDescent="0.25">
      <c r="A45" s="184"/>
      <c r="B45" s="185" t="s">
        <v>701</v>
      </c>
      <c r="C45" s="204" t="s">
        <v>473</v>
      </c>
      <c r="D45" s="164" t="s">
        <v>357</v>
      </c>
      <c r="E45" s="74" t="s">
        <v>4</v>
      </c>
      <c r="F45" s="75" t="s">
        <v>405</v>
      </c>
      <c r="G45" s="75" t="s">
        <v>397</v>
      </c>
      <c r="H45" s="88" t="s">
        <v>113</v>
      </c>
      <c r="I45" s="49"/>
      <c r="J45" s="49" t="s">
        <v>230</v>
      </c>
      <c r="K45" s="206"/>
      <c r="L45" s="207"/>
      <c r="M45" s="208"/>
      <c r="O45" s="204" t="s">
        <v>473</v>
      </c>
      <c r="P45" s="47" t="s">
        <v>4</v>
      </c>
      <c r="Q45" s="48" t="s">
        <v>444</v>
      </c>
      <c r="R45" s="48"/>
      <c r="S45" s="48"/>
      <c r="T45" s="48"/>
      <c r="U45" s="48"/>
      <c r="V45" s="48"/>
      <c r="W45" s="48"/>
      <c r="X45" s="48"/>
      <c r="Y45" s="48"/>
      <c r="Z45" s="48"/>
      <c r="AA45" s="48"/>
      <c r="AB45" s="48"/>
      <c r="AC45" s="48"/>
      <c r="AD45" s="48"/>
      <c r="AE45" s="48"/>
      <c r="AF45" s="209"/>
      <c r="AG45" s="47"/>
      <c r="AH45" s="210" t="s">
        <v>339</v>
      </c>
      <c r="AI45" s="68" t="s">
        <v>447</v>
      </c>
      <c r="AJ45" s="170"/>
      <c r="AK45" s="170">
        <v>30</v>
      </c>
      <c r="AL45" s="170">
        <v>50</v>
      </c>
      <c r="AM45" s="170">
        <v>50</v>
      </c>
      <c r="AN45" s="170">
        <v>50</v>
      </c>
      <c r="AO45" s="170">
        <v>50</v>
      </c>
      <c r="AP45" s="170">
        <v>50</v>
      </c>
      <c r="AQ45" s="170">
        <v>50</v>
      </c>
      <c r="AR45" s="170">
        <v>50</v>
      </c>
      <c r="AS45" s="170">
        <v>50</v>
      </c>
      <c r="AT45" s="170"/>
      <c r="AU45" s="170"/>
      <c r="AV45" s="170">
        <v>40</v>
      </c>
      <c r="AW45" s="170">
        <v>75</v>
      </c>
      <c r="AX45" s="170">
        <v>75</v>
      </c>
      <c r="AY45" s="170">
        <v>75</v>
      </c>
      <c r="AZ45" s="170">
        <v>75</v>
      </c>
      <c r="BA45" s="170">
        <v>75</v>
      </c>
      <c r="BB45" s="170">
        <v>75</v>
      </c>
      <c r="BC45" s="170">
        <v>75</v>
      </c>
      <c r="BD45" s="170">
        <v>75</v>
      </c>
      <c r="BE45" s="170"/>
      <c r="BF45" s="170"/>
      <c r="BG45" s="206"/>
      <c r="BH45" s="415" t="s">
        <v>349</v>
      </c>
      <c r="BI45" s="48" t="s">
        <v>323</v>
      </c>
      <c r="BJ45" s="211"/>
      <c r="BK45" s="212">
        <f>(1200000*40/160*13+20000+500000/52)*AK45</f>
        <v>117888461.53846154</v>
      </c>
      <c r="BL45" s="217">
        <f>(1200000*40/160*13+20000+500000/52)*AL45</f>
        <v>196480769.23076922</v>
      </c>
      <c r="BM45" s="217">
        <f t="shared" ref="BM45:BS45" si="89">(1200000*40/160*13+20000+500000/52)*AM45</f>
        <v>196480769.23076922</v>
      </c>
      <c r="BN45" s="217">
        <f t="shared" si="89"/>
        <v>196480769.23076922</v>
      </c>
      <c r="BO45" s="217">
        <f t="shared" si="89"/>
        <v>196480769.23076922</v>
      </c>
      <c r="BP45" s="217">
        <f t="shared" si="89"/>
        <v>196480769.23076922</v>
      </c>
      <c r="BQ45" s="217">
        <f t="shared" si="89"/>
        <v>196480769.23076922</v>
      </c>
      <c r="BR45" s="217">
        <f t="shared" si="89"/>
        <v>196480769.23076922</v>
      </c>
      <c r="BS45" s="217">
        <f t="shared" si="89"/>
        <v>196480769.23076922</v>
      </c>
      <c r="BT45" s="213">
        <f t="shared" si="88"/>
        <v>1689734615.3846149</v>
      </c>
      <c r="BU45" s="253">
        <v>1</v>
      </c>
      <c r="BV45" s="48"/>
      <c r="BW45" s="48"/>
      <c r="BX45" s="216"/>
      <c r="BY45" s="212">
        <f>(1200000*40/160*13+20000+500000/52)*AV45+10000*550</f>
        <v>162684615.38461539</v>
      </c>
      <c r="BZ45" s="217">
        <f>(1200000*40/160*13+20000+500000/52)*AW45+10000*550</f>
        <v>300221153.84615386</v>
      </c>
      <c r="CA45" s="217">
        <f t="shared" ref="CA45:CG45" si="90">(1200000*40/160*13+20000+500000/52)*AX45+10000*550</f>
        <v>300221153.84615386</v>
      </c>
      <c r="CB45" s="217">
        <f t="shared" si="90"/>
        <v>300221153.84615386</v>
      </c>
      <c r="CC45" s="217">
        <f t="shared" si="90"/>
        <v>300221153.84615386</v>
      </c>
      <c r="CD45" s="217">
        <f t="shared" si="90"/>
        <v>300221153.84615386</v>
      </c>
      <c r="CE45" s="217">
        <f t="shared" si="90"/>
        <v>300221153.84615386</v>
      </c>
      <c r="CF45" s="217">
        <f t="shared" si="90"/>
        <v>300221153.84615386</v>
      </c>
      <c r="CG45" s="213">
        <f t="shared" si="90"/>
        <v>300221153.84615386</v>
      </c>
      <c r="CH45" s="217">
        <f>+BY45-BK45</f>
        <v>44796153.846153855</v>
      </c>
      <c r="CI45" s="170">
        <f>+BZ45-BL45</f>
        <v>103740384.61538464</v>
      </c>
      <c r="CJ45" s="170">
        <f t="shared" si="86"/>
        <v>103740384.61538464</v>
      </c>
      <c r="CK45" s="170">
        <f t="shared" si="86"/>
        <v>103740384.61538464</v>
      </c>
      <c r="CL45" s="170">
        <f t="shared" si="86"/>
        <v>103740384.61538464</v>
      </c>
      <c r="CM45" s="170">
        <f t="shared" si="86"/>
        <v>103740384.61538464</v>
      </c>
      <c r="CN45" s="170">
        <f t="shared" si="86"/>
        <v>103740384.61538464</v>
      </c>
      <c r="CO45" s="170">
        <f t="shared" si="86"/>
        <v>103740384.61538464</v>
      </c>
      <c r="CP45" s="170">
        <f t="shared" si="86"/>
        <v>103740384.61538464</v>
      </c>
      <c r="CQ45" s="218">
        <f t="shared" si="76"/>
        <v>874719230.76923084</v>
      </c>
      <c r="CR45" s="219"/>
      <c r="CS45" s="220"/>
      <c r="CT45" s="220"/>
      <c r="CU45" s="210"/>
      <c r="CV45" s="210"/>
      <c r="CW45" s="210"/>
      <c r="CX45" s="210"/>
      <c r="CY45" s="221">
        <f>+CQ45-CS45*550</f>
        <v>874719230.76923084</v>
      </c>
      <c r="CZ45" s="222"/>
      <c r="DA45" s="309"/>
    </row>
    <row r="46" spans="1:105" ht="26.1" customHeight="1" x14ac:dyDescent="0.25">
      <c r="A46" s="143" t="s">
        <v>42</v>
      </c>
      <c r="B46" s="144" t="s">
        <v>702</v>
      </c>
      <c r="C46" s="143" t="s">
        <v>42</v>
      </c>
      <c r="D46" s="144" t="s">
        <v>357</v>
      </c>
      <c r="E46" s="59" t="s">
        <v>44</v>
      </c>
      <c r="F46" s="145"/>
      <c r="G46" s="60"/>
      <c r="H46" s="61"/>
      <c r="I46" s="62"/>
      <c r="J46" s="62"/>
      <c r="K46" s="147" t="s">
        <v>254</v>
      </c>
      <c r="L46" s="148" t="s">
        <v>255</v>
      </c>
      <c r="M46" s="149"/>
      <c r="O46" s="143" t="s">
        <v>42</v>
      </c>
      <c r="P46" s="150"/>
      <c r="Q46" s="145"/>
      <c r="R46" s="145"/>
      <c r="S46" s="145"/>
      <c r="T46" s="145"/>
      <c r="U46" s="145"/>
      <c r="V46" s="145"/>
      <c r="W46" s="145"/>
      <c r="X46" s="145"/>
      <c r="Y46" s="145"/>
      <c r="Z46" s="145"/>
      <c r="AA46" s="145"/>
      <c r="AB46" s="145"/>
      <c r="AC46" s="145"/>
      <c r="AD46" s="145"/>
      <c r="AE46" s="145"/>
      <c r="AF46" s="151"/>
      <c r="AG46" s="150"/>
      <c r="AH46" s="145"/>
      <c r="AI46" s="145"/>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254"/>
      <c r="BG46" s="150"/>
      <c r="BH46" s="154" t="s">
        <v>357</v>
      </c>
      <c r="BI46" s="155"/>
      <c r="BJ46" s="156">
        <f t="shared" ref="BJ46:BS46" si="91">SUM(BJ47)</f>
        <v>0</v>
      </c>
      <c r="BK46" s="157">
        <f t="shared" si="91"/>
        <v>4400000</v>
      </c>
      <c r="BL46" s="152">
        <f t="shared" si="91"/>
        <v>0</v>
      </c>
      <c r="BM46" s="152">
        <f t="shared" si="91"/>
        <v>0</v>
      </c>
      <c r="BN46" s="152">
        <f t="shared" si="91"/>
        <v>0</v>
      </c>
      <c r="BO46" s="152">
        <f t="shared" si="91"/>
        <v>0</v>
      </c>
      <c r="BP46" s="152">
        <f t="shared" si="91"/>
        <v>0</v>
      </c>
      <c r="BQ46" s="152">
        <f t="shared" si="91"/>
        <v>0</v>
      </c>
      <c r="BR46" s="152">
        <f t="shared" si="91"/>
        <v>0</v>
      </c>
      <c r="BS46" s="152">
        <f t="shared" si="91"/>
        <v>0</v>
      </c>
      <c r="BT46" s="156">
        <f t="shared" si="88"/>
        <v>4400000</v>
      </c>
      <c r="BU46" s="158"/>
      <c r="BV46" s="145"/>
      <c r="BW46" s="145"/>
      <c r="BX46" s="159"/>
      <c r="BY46" s="157">
        <f t="shared" ref="BY46:CP46" si="92">SUM(BY47)</f>
        <v>4400000</v>
      </c>
      <c r="BZ46" s="152">
        <f t="shared" si="92"/>
        <v>0</v>
      </c>
      <c r="CA46" s="152">
        <f t="shared" si="92"/>
        <v>0</v>
      </c>
      <c r="CB46" s="152">
        <f t="shared" si="92"/>
        <v>5500000</v>
      </c>
      <c r="CC46" s="152">
        <f t="shared" si="92"/>
        <v>0</v>
      </c>
      <c r="CD46" s="152">
        <f t="shared" si="92"/>
        <v>0</v>
      </c>
      <c r="CE46" s="152">
        <f t="shared" si="92"/>
        <v>0</v>
      </c>
      <c r="CF46" s="152">
        <f t="shared" si="92"/>
        <v>0</v>
      </c>
      <c r="CG46" s="156">
        <f t="shared" si="92"/>
        <v>0</v>
      </c>
      <c r="CH46" s="157">
        <f t="shared" si="92"/>
        <v>0</v>
      </c>
      <c r="CI46" s="152">
        <f t="shared" si="92"/>
        <v>0</v>
      </c>
      <c r="CJ46" s="152">
        <f t="shared" si="92"/>
        <v>0</v>
      </c>
      <c r="CK46" s="152">
        <f t="shared" si="92"/>
        <v>5500000</v>
      </c>
      <c r="CL46" s="152">
        <f t="shared" si="92"/>
        <v>0</v>
      </c>
      <c r="CM46" s="152">
        <f t="shared" si="92"/>
        <v>0</v>
      </c>
      <c r="CN46" s="152">
        <f t="shared" si="92"/>
        <v>0</v>
      </c>
      <c r="CO46" s="152">
        <f t="shared" si="92"/>
        <v>0</v>
      </c>
      <c r="CP46" s="152">
        <f t="shared" si="92"/>
        <v>0</v>
      </c>
      <c r="CQ46" s="156">
        <f t="shared" ref="CQ46:CQ55" si="93">SUM(CH46:CP46)</f>
        <v>5500000</v>
      </c>
      <c r="CR46" s="158"/>
      <c r="CS46" s="160">
        <f>SUM(CS47)</f>
        <v>0</v>
      </c>
      <c r="CT46" s="145"/>
      <c r="CU46" s="145"/>
      <c r="CV46" s="145"/>
      <c r="CW46" s="145"/>
      <c r="CX46" s="145"/>
      <c r="CY46" s="161">
        <f>SUM(CY47)</f>
        <v>5500000</v>
      </c>
      <c r="CZ46" s="151"/>
      <c r="DA46" s="162"/>
    </row>
    <row r="47" spans="1:105" ht="26.1" customHeight="1" x14ac:dyDescent="0.25">
      <c r="A47" s="204" t="s">
        <v>43</v>
      </c>
      <c r="B47" s="205" t="s">
        <v>703</v>
      </c>
      <c r="C47" s="204" t="s">
        <v>448</v>
      </c>
      <c r="D47" s="205" t="s">
        <v>357</v>
      </c>
      <c r="E47" s="47" t="s">
        <v>44</v>
      </c>
      <c r="F47" s="48" t="s">
        <v>405</v>
      </c>
      <c r="G47" s="48" t="s">
        <v>450</v>
      </c>
      <c r="H47" s="48" t="s">
        <v>113</v>
      </c>
      <c r="I47" s="49"/>
      <c r="J47" s="49" t="s">
        <v>230</v>
      </c>
      <c r="K47" s="206"/>
      <c r="L47" s="207"/>
      <c r="M47" s="208"/>
      <c r="O47" s="204" t="s">
        <v>448</v>
      </c>
      <c r="P47" s="47" t="s">
        <v>44</v>
      </c>
      <c r="Q47" s="48" t="s">
        <v>450</v>
      </c>
      <c r="R47" s="48" t="s">
        <v>314</v>
      </c>
      <c r="S47" s="48" t="s">
        <v>314</v>
      </c>
      <c r="T47" s="48" t="s">
        <v>314</v>
      </c>
      <c r="U47" s="48"/>
      <c r="V47" s="48" t="s">
        <v>314</v>
      </c>
      <c r="W47" s="48"/>
      <c r="X47" s="48" t="s">
        <v>307</v>
      </c>
      <c r="Y47" s="48"/>
      <c r="Z47" s="48"/>
      <c r="AA47" s="48"/>
      <c r="AB47" s="48"/>
      <c r="AC47" s="48"/>
      <c r="AD47" s="48"/>
      <c r="AE47" s="48"/>
      <c r="AF47" s="209"/>
      <c r="AG47" s="47" t="s">
        <v>315</v>
      </c>
      <c r="AH47" s="210" t="s">
        <v>319</v>
      </c>
      <c r="AI47" s="68" t="s">
        <v>449</v>
      </c>
      <c r="AJ47" s="170">
        <v>1</v>
      </c>
      <c r="AK47" s="170">
        <v>0</v>
      </c>
      <c r="AL47" s="170">
        <v>0</v>
      </c>
      <c r="AM47" s="170">
        <v>0</v>
      </c>
      <c r="AN47" s="170">
        <v>0</v>
      </c>
      <c r="AO47" s="170">
        <v>1</v>
      </c>
      <c r="AP47" s="170">
        <v>0</v>
      </c>
      <c r="AQ47" s="170">
        <v>0</v>
      </c>
      <c r="AR47" s="170">
        <v>0</v>
      </c>
      <c r="AS47" s="170">
        <v>0</v>
      </c>
      <c r="AT47" s="170"/>
      <c r="AU47" s="170"/>
      <c r="AV47" s="170">
        <v>0</v>
      </c>
      <c r="AW47" s="170">
        <v>0</v>
      </c>
      <c r="AX47" s="170">
        <v>0</v>
      </c>
      <c r="AY47" s="170">
        <v>0</v>
      </c>
      <c r="AZ47" s="170">
        <v>1</v>
      </c>
      <c r="BA47" s="170">
        <v>0</v>
      </c>
      <c r="BB47" s="170">
        <v>0</v>
      </c>
      <c r="BC47" s="170">
        <v>0</v>
      </c>
      <c r="BD47" s="170">
        <v>0</v>
      </c>
      <c r="BE47" s="170"/>
      <c r="BF47" s="170"/>
      <c r="BG47" s="206" t="s">
        <v>446</v>
      </c>
      <c r="BH47" s="257" t="s">
        <v>349</v>
      </c>
      <c r="BI47" s="48" t="s">
        <v>313</v>
      </c>
      <c r="BJ47" s="211"/>
      <c r="BK47" s="212">
        <f>8000*550</f>
        <v>4400000</v>
      </c>
      <c r="BL47" s="170">
        <v>0</v>
      </c>
      <c r="BM47" s="170">
        <v>0</v>
      </c>
      <c r="BN47" s="170">
        <v>0</v>
      </c>
      <c r="BO47" s="170">
        <v>0</v>
      </c>
      <c r="BP47" s="170">
        <v>0</v>
      </c>
      <c r="BQ47" s="170">
        <v>0</v>
      </c>
      <c r="BR47" s="170">
        <v>0</v>
      </c>
      <c r="BS47" s="170">
        <v>0</v>
      </c>
      <c r="BT47" s="213">
        <f t="shared" si="88"/>
        <v>4400000</v>
      </c>
      <c r="BU47" s="214"/>
      <c r="BV47" s="48"/>
      <c r="BW47" s="215">
        <v>1</v>
      </c>
      <c r="BX47" s="216" t="s">
        <v>388</v>
      </c>
      <c r="BY47" s="212">
        <f>8000*550</f>
        <v>4400000</v>
      </c>
      <c r="BZ47" s="170">
        <v>0</v>
      </c>
      <c r="CA47" s="170">
        <v>0</v>
      </c>
      <c r="CB47" s="170">
        <f>10000*550</f>
        <v>5500000</v>
      </c>
      <c r="CC47" s="170">
        <v>0</v>
      </c>
      <c r="CD47" s="170">
        <v>0</v>
      </c>
      <c r="CE47" s="170">
        <v>0</v>
      </c>
      <c r="CF47" s="170">
        <v>0</v>
      </c>
      <c r="CG47" s="213">
        <v>0</v>
      </c>
      <c r="CH47" s="217">
        <f>+BY47-BK47</f>
        <v>0</v>
      </c>
      <c r="CI47" s="217">
        <f>+BZ47-BL47</f>
        <v>0</v>
      </c>
      <c r="CJ47" s="217">
        <f t="shared" ref="CJ47:CP47" si="94">+CA47-BM47</f>
        <v>0</v>
      </c>
      <c r="CK47" s="217">
        <f t="shared" si="94"/>
        <v>5500000</v>
      </c>
      <c r="CL47" s="217">
        <f t="shared" si="94"/>
        <v>0</v>
      </c>
      <c r="CM47" s="217">
        <f t="shared" si="94"/>
        <v>0</v>
      </c>
      <c r="CN47" s="217">
        <f t="shared" si="94"/>
        <v>0</v>
      </c>
      <c r="CO47" s="217">
        <f t="shared" si="94"/>
        <v>0</v>
      </c>
      <c r="CP47" s="217">
        <f t="shared" si="94"/>
        <v>0</v>
      </c>
      <c r="CQ47" s="218">
        <f>SUM(CH47:CP47)</f>
        <v>5500000</v>
      </c>
      <c r="CR47" s="219"/>
      <c r="CS47" s="220"/>
      <c r="CT47" s="220"/>
      <c r="CU47" s="210"/>
      <c r="CV47" s="210"/>
      <c r="CW47" s="210"/>
      <c r="CX47" s="210"/>
      <c r="CY47" s="221">
        <f>+CQ47-CS47*550</f>
        <v>5500000</v>
      </c>
      <c r="CZ47" s="222"/>
      <c r="DA47" s="248"/>
    </row>
    <row r="48" spans="1:105" ht="26.1" customHeight="1" x14ac:dyDescent="0.25">
      <c r="A48" s="143" t="s">
        <v>45</v>
      </c>
      <c r="B48" s="144" t="s">
        <v>704</v>
      </c>
      <c r="C48" s="143" t="s">
        <v>45</v>
      </c>
      <c r="D48" s="144" t="s">
        <v>355</v>
      </c>
      <c r="E48" s="59" t="s">
        <v>4</v>
      </c>
      <c r="F48" s="145"/>
      <c r="G48" s="60"/>
      <c r="H48" s="61"/>
      <c r="I48" s="62"/>
      <c r="J48" s="62"/>
      <c r="K48" s="147" t="s">
        <v>254</v>
      </c>
      <c r="L48" s="148" t="s">
        <v>255</v>
      </c>
      <c r="M48" s="149" t="s">
        <v>256</v>
      </c>
      <c r="O48" s="143" t="s">
        <v>45</v>
      </c>
      <c r="P48" s="150"/>
      <c r="Q48" s="145"/>
      <c r="R48" s="145"/>
      <c r="S48" s="145"/>
      <c r="T48" s="145"/>
      <c r="U48" s="145"/>
      <c r="V48" s="145"/>
      <c r="W48" s="145"/>
      <c r="X48" s="145"/>
      <c r="Y48" s="145"/>
      <c r="Z48" s="145"/>
      <c r="AA48" s="145"/>
      <c r="AB48" s="145"/>
      <c r="AC48" s="145"/>
      <c r="AD48" s="145"/>
      <c r="AE48" s="145"/>
      <c r="AF48" s="151"/>
      <c r="AG48" s="150"/>
      <c r="AH48" s="145"/>
      <c r="AI48" s="145"/>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254"/>
      <c r="BG48" s="150"/>
      <c r="BH48" s="154" t="s">
        <v>355</v>
      </c>
      <c r="BI48" s="155"/>
      <c r="BJ48" s="156">
        <f t="shared" ref="BJ48:BS48" si="95">SUM(BJ49)</f>
        <v>30000000</v>
      </c>
      <c r="BK48" s="157">
        <f t="shared" si="95"/>
        <v>21000000</v>
      </c>
      <c r="BL48" s="152">
        <f t="shared" si="95"/>
        <v>11000000</v>
      </c>
      <c r="BM48" s="152">
        <f t="shared" si="95"/>
        <v>11000000</v>
      </c>
      <c r="BN48" s="152">
        <f t="shared" si="95"/>
        <v>11000000</v>
      </c>
      <c r="BO48" s="152">
        <f t="shared" si="95"/>
        <v>11000000</v>
      </c>
      <c r="BP48" s="152">
        <f t="shared" si="95"/>
        <v>11000000</v>
      </c>
      <c r="BQ48" s="152">
        <f t="shared" si="95"/>
        <v>11000000</v>
      </c>
      <c r="BR48" s="152">
        <f t="shared" si="95"/>
        <v>11000000</v>
      </c>
      <c r="BS48" s="152">
        <f t="shared" si="95"/>
        <v>11000000</v>
      </c>
      <c r="BT48" s="156">
        <f t="shared" si="88"/>
        <v>109000000</v>
      </c>
      <c r="BU48" s="158"/>
      <c r="BV48" s="145"/>
      <c r="BW48" s="145"/>
      <c r="BX48" s="159"/>
      <c r="BY48" s="157">
        <f t="shared" ref="BY48:CP48" si="96">SUM(BY49)</f>
        <v>14000000</v>
      </c>
      <c r="BZ48" s="152">
        <f t="shared" si="96"/>
        <v>15000000</v>
      </c>
      <c r="CA48" s="152">
        <f t="shared" si="96"/>
        <v>24500000</v>
      </c>
      <c r="CB48" s="152">
        <f t="shared" si="96"/>
        <v>21500000</v>
      </c>
      <c r="CC48" s="152">
        <f t="shared" si="96"/>
        <v>19000000</v>
      </c>
      <c r="CD48" s="152">
        <f t="shared" si="96"/>
        <v>19000000</v>
      </c>
      <c r="CE48" s="152">
        <f t="shared" si="96"/>
        <v>19000000</v>
      </c>
      <c r="CF48" s="152">
        <f t="shared" si="96"/>
        <v>19000000</v>
      </c>
      <c r="CG48" s="156">
        <f t="shared" si="96"/>
        <v>19000000</v>
      </c>
      <c r="CH48" s="157">
        <f t="shared" si="96"/>
        <v>-7000000</v>
      </c>
      <c r="CI48" s="152">
        <f t="shared" si="96"/>
        <v>4000000</v>
      </c>
      <c r="CJ48" s="152">
        <f t="shared" si="96"/>
        <v>13500000</v>
      </c>
      <c r="CK48" s="152">
        <f t="shared" si="96"/>
        <v>10500000</v>
      </c>
      <c r="CL48" s="152">
        <f t="shared" si="96"/>
        <v>8000000</v>
      </c>
      <c r="CM48" s="152">
        <f t="shared" si="96"/>
        <v>8000000</v>
      </c>
      <c r="CN48" s="152">
        <f t="shared" si="96"/>
        <v>8000000</v>
      </c>
      <c r="CO48" s="152">
        <f t="shared" si="96"/>
        <v>8000000</v>
      </c>
      <c r="CP48" s="152">
        <f t="shared" si="96"/>
        <v>8000000</v>
      </c>
      <c r="CQ48" s="156">
        <f t="shared" si="93"/>
        <v>61000000</v>
      </c>
      <c r="CR48" s="158"/>
      <c r="CS48" s="160">
        <f>SUM(CS49)</f>
        <v>0</v>
      </c>
      <c r="CT48" s="145"/>
      <c r="CU48" s="145"/>
      <c r="CV48" s="145"/>
      <c r="CW48" s="145"/>
      <c r="CX48" s="145"/>
      <c r="CY48" s="161">
        <f>SUM(CY49)</f>
        <v>61000000</v>
      </c>
      <c r="CZ48" s="151"/>
      <c r="DA48" s="162"/>
    </row>
    <row r="49" spans="1:105" ht="26.1" customHeight="1" x14ac:dyDescent="0.25">
      <c r="A49" s="204" t="s">
        <v>510</v>
      </c>
      <c r="B49" s="205" t="s">
        <v>705</v>
      </c>
      <c r="C49" s="204" t="s">
        <v>510</v>
      </c>
      <c r="D49" s="205" t="s">
        <v>355</v>
      </c>
      <c r="E49" s="47" t="s">
        <v>4</v>
      </c>
      <c r="F49" s="48" t="s">
        <v>404</v>
      </c>
      <c r="G49" s="48" t="s">
        <v>394</v>
      </c>
      <c r="H49" s="50" t="s">
        <v>115</v>
      </c>
      <c r="I49" s="49"/>
      <c r="J49" s="49" t="s">
        <v>234</v>
      </c>
      <c r="K49" s="206"/>
      <c r="L49" s="207"/>
      <c r="M49" s="208"/>
      <c r="O49" s="204" t="s">
        <v>510</v>
      </c>
      <c r="P49" s="47" t="s">
        <v>4</v>
      </c>
      <c r="Q49" s="48" t="s">
        <v>451</v>
      </c>
      <c r="R49" s="50"/>
      <c r="S49" s="50"/>
      <c r="T49" s="50"/>
      <c r="U49" s="50"/>
      <c r="V49" s="50"/>
      <c r="W49" s="50"/>
      <c r="X49" s="50" t="s">
        <v>307</v>
      </c>
      <c r="Y49" s="50"/>
      <c r="Z49" s="50"/>
      <c r="AA49" s="50"/>
      <c r="AB49" s="50"/>
      <c r="AC49" s="50"/>
      <c r="AD49" s="50"/>
      <c r="AE49" s="50"/>
      <c r="AF49" s="259"/>
      <c r="AG49" s="47" t="s">
        <v>308</v>
      </c>
      <c r="AH49" s="210" t="s">
        <v>309</v>
      </c>
      <c r="AI49" s="68" t="s">
        <v>310</v>
      </c>
      <c r="AJ49" s="215">
        <v>0.3</v>
      </c>
      <c r="AK49" s="170">
        <v>1</v>
      </c>
      <c r="AL49" s="170">
        <v>1</v>
      </c>
      <c r="AM49" s="170">
        <v>1</v>
      </c>
      <c r="AN49" s="170">
        <v>1</v>
      </c>
      <c r="AO49" s="170">
        <v>1</v>
      </c>
      <c r="AP49" s="170">
        <v>1</v>
      </c>
      <c r="AQ49" s="170">
        <v>1</v>
      </c>
      <c r="AR49" s="170">
        <v>1</v>
      </c>
      <c r="AS49" s="170">
        <v>1</v>
      </c>
      <c r="AT49" s="170">
        <v>4</v>
      </c>
      <c r="AU49" s="170">
        <v>10</v>
      </c>
      <c r="AV49" s="170">
        <v>2</v>
      </c>
      <c r="AW49" s="170">
        <v>4</v>
      </c>
      <c r="AX49" s="170">
        <v>5</v>
      </c>
      <c r="AY49" s="170">
        <v>4</v>
      </c>
      <c r="AZ49" s="170">
        <v>4</v>
      </c>
      <c r="BA49" s="170">
        <v>4</v>
      </c>
      <c r="BB49" s="170">
        <v>4</v>
      </c>
      <c r="BC49" s="170">
        <v>4</v>
      </c>
      <c r="BD49" s="170">
        <v>4</v>
      </c>
      <c r="BE49" s="170">
        <v>10</v>
      </c>
      <c r="BF49" s="260">
        <v>20</v>
      </c>
      <c r="BG49" s="206" t="s">
        <v>311</v>
      </c>
      <c r="BH49" s="68" t="s">
        <v>312</v>
      </c>
      <c r="BI49" s="48" t="s">
        <v>313</v>
      </c>
      <c r="BJ49" s="269">
        <v>30000000</v>
      </c>
      <c r="BK49" s="212">
        <v>21000000</v>
      </c>
      <c r="BL49" s="170">
        <v>11000000</v>
      </c>
      <c r="BM49" s="170">
        <v>11000000</v>
      </c>
      <c r="BN49" s="170">
        <v>11000000</v>
      </c>
      <c r="BO49" s="170">
        <v>11000000</v>
      </c>
      <c r="BP49" s="170">
        <v>11000000</v>
      </c>
      <c r="BQ49" s="170">
        <v>11000000</v>
      </c>
      <c r="BR49" s="170">
        <v>11000000</v>
      </c>
      <c r="BS49" s="170">
        <v>11000000</v>
      </c>
      <c r="BT49" s="213">
        <f t="shared" si="88"/>
        <v>109000000</v>
      </c>
      <c r="BU49" s="270">
        <v>0.85</v>
      </c>
      <c r="BV49" s="48"/>
      <c r="BW49" s="215">
        <v>0.15</v>
      </c>
      <c r="BX49" s="243" t="s">
        <v>388</v>
      </c>
      <c r="BY49" s="310">
        <v>14000000</v>
      </c>
      <c r="BZ49" s="311">
        <v>15000000</v>
      </c>
      <c r="CA49" s="311">
        <v>24500000</v>
      </c>
      <c r="CB49" s="170">
        <v>21500000</v>
      </c>
      <c r="CC49" s="170">
        <v>19000000</v>
      </c>
      <c r="CD49" s="170">
        <v>19000000</v>
      </c>
      <c r="CE49" s="170">
        <v>19000000</v>
      </c>
      <c r="CF49" s="170">
        <v>19000000</v>
      </c>
      <c r="CG49" s="213">
        <v>19000000</v>
      </c>
      <c r="CH49" s="212">
        <f>+BY49-BK49</f>
        <v>-7000000</v>
      </c>
      <c r="CI49" s="170">
        <f>+BZ49-BL49</f>
        <v>4000000</v>
      </c>
      <c r="CJ49" s="170">
        <f t="shared" ref="CJ49:CP49" si="97">+CA49-BM49</f>
        <v>13500000</v>
      </c>
      <c r="CK49" s="170">
        <f t="shared" si="97"/>
        <v>10500000</v>
      </c>
      <c r="CL49" s="170">
        <f t="shared" si="97"/>
        <v>8000000</v>
      </c>
      <c r="CM49" s="170">
        <f t="shared" si="97"/>
        <v>8000000</v>
      </c>
      <c r="CN49" s="170">
        <f t="shared" si="97"/>
        <v>8000000</v>
      </c>
      <c r="CO49" s="170">
        <f t="shared" si="97"/>
        <v>8000000</v>
      </c>
      <c r="CP49" s="170">
        <f t="shared" si="97"/>
        <v>8000000</v>
      </c>
      <c r="CQ49" s="213">
        <f t="shared" si="93"/>
        <v>61000000</v>
      </c>
      <c r="CR49" s="219"/>
      <c r="CS49" s="220"/>
      <c r="CT49" s="220"/>
      <c r="CU49" s="210"/>
      <c r="CV49" s="210"/>
      <c r="CW49" s="210"/>
      <c r="CX49" s="210"/>
      <c r="CY49" s="221">
        <f>+CQ49-CS49*550</f>
        <v>61000000</v>
      </c>
      <c r="CZ49" s="222"/>
      <c r="DA49" s="246"/>
    </row>
    <row r="50" spans="1:105" ht="26.1" customHeight="1" x14ac:dyDescent="0.25">
      <c r="A50" s="143" t="s">
        <v>46</v>
      </c>
      <c r="B50" s="144" t="s">
        <v>706</v>
      </c>
      <c r="C50" s="143" t="s">
        <v>46</v>
      </c>
      <c r="D50" s="144" t="s">
        <v>355</v>
      </c>
      <c r="E50" s="59" t="s">
        <v>2</v>
      </c>
      <c r="F50" s="145"/>
      <c r="G50" s="60"/>
      <c r="H50" s="61"/>
      <c r="I50" s="62"/>
      <c r="J50" s="62"/>
      <c r="K50" s="147" t="s">
        <v>255</v>
      </c>
      <c r="L50" s="148" t="s">
        <v>256</v>
      </c>
      <c r="M50" s="149"/>
      <c r="O50" s="143" t="s">
        <v>46</v>
      </c>
      <c r="P50" s="150"/>
      <c r="Q50" s="145"/>
      <c r="R50" s="145"/>
      <c r="S50" s="145"/>
      <c r="T50" s="145"/>
      <c r="U50" s="145"/>
      <c r="V50" s="145"/>
      <c r="W50" s="145"/>
      <c r="X50" s="145"/>
      <c r="Y50" s="145"/>
      <c r="Z50" s="145"/>
      <c r="AA50" s="145"/>
      <c r="AB50" s="145"/>
      <c r="AC50" s="145"/>
      <c r="AD50" s="145"/>
      <c r="AE50" s="145"/>
      <c r="AF50" s="151"/>
      <c r="AG50" s="150"/>
      <c r="AH50" s="145"/>
      <c r="AI50" s="145"/>
      <c r="AJ50" s="145"/>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254"/>
      <c r="BG50" s="150"/>
      <c r="BH50" s="154" t="s">
        <v>355</v>
      </c>
      <c r="BI50" s="155"/>
      <c r="BJ50" s="156">
        <f t="shared" ref="BJ50:BS50" si="98">SUM(BJ51)</f>
        <v>0</v>
      </c>
      <c r="BK50" s="157">
        <f t="shared" si="98"/>
        <v>0</v>
      </c>
      <c r="BL50" s="152">
        <f t="shared" si="98"/>
        <v>0</v>
      </c>
      <c r="BM50" s="152">
        <f t="shared" si="98"/>
        <v>0</v>
      </c>
      <c r="BN50" s="152">
        <f t="shared" si="98"/>
        <v>0</v>
      </c>
      <c r="BO50" s="152">
        <f t="shared" si="98"/>
        <v>0</v>
      </c>
      <c r="BP50" s="152">
        <f t="shared" si="98"/>
        <v>0</v>
      </c>
      <c r="BQ50" s="152">
        <f t="shared" si="98"/>
        <v>0</v>
      </c>
      <c r="BR50" s="152">
        <f t="shared" si="98"/>
        <v>0</v>
      </c>
      <c r="BS50" s="152">
        <f t="shared" si="98"/>
        <v>0</v>
      </c>
      <c r="BT50" s="156">
        <f t="shared" si="88"/>
        <v>0</v>
      </c>
      <c r="BU50" s="158"/>
      <c r="BV50" s="145"/>
      <c r="BW50" s="145"/>
      <c r="BX50" s="159"/>
      <c r="BY50" s="157">
        <f t="shared" ref="BY50:CP50" si="99">SUM(BY51)</f>
        <v>1800000</v>
      </c>
      <c r="BZ50" s="152">
        <f t="shared" si="99"/>
        <v>1800000</v>
      </c>
      <c r="CA50" s="152">
        <f t="shared" si="99"/>
        <v>1800000</v>
      </c>
      <c r="CB50" s="152">
        <f t="shared" si="99"/>
        <v>1800000</v>
      </c>
      <c r="CC50" s="152">
        <f t="shared" si="99"/>
        <v>1800000</v>
      </c>
      <c r="CD50" s="152">
        <f t="shared" si="99"/>
        <v>1800000</v>
      </c>
      <c r="CE50" s="152">
        <f t="shared" si="99"/>
        <v>1800000</v>
      </c>
      <c r="CF50" s="152">
        <f t="shared" si="99"/>
        <v>1800000</v>
      </c>
      <c r="CG50" s="156">
        <f t="shared" si="99"/>
        <v>1800000</v>
      </c>
      <c r="CH50" s="157">
        <f t="shared" si="99"/>
        <v>1800000</v>
      </c>
      <c r="CI50" s="152">
        <f t="shared" si="99"/>
        <v>1800000</v>
      </c>
      <c r="CJ50" s="152">
        <f t="shared" si="99"/>
        <v>1800000</v>
      </c>
      <c r="CK50" s="152">
        <f t="shared" si="99"/>
        <v>1800000</v>
      </c>
      <c r="CL50" s="152">
        <f t="shared" si="99"/>
        <v>1800000</v>
      </c>
      <c r="CM50" s="152">
        <f t="shared" si="99"/>
        <v>1800000</v>
      </c>
      <c r="CN50" s="152">
        <f t="shared" si="99"/>
        <v>1800000</v>
      </c>
      <c r="CO50" s="152">
        <f t="shared" si="99"/>
        <v>1800000</v>
      </c>
      <c r="CP50" s="152">
        <f t="shared" si="99"/>
        <v>1800000</v>
      </c>
      <c r="CQ50" s="156">
        <f t="shared" si="93"/>
        <v>16200000</v>
      </c>
      <c r="CR50" s="158"/>
      <c r="CS50" s="160">
        <f>SUM(CS51)</f>
        <v>0</v>
      </c>
      <c r="CT50" s="145"/>
      <c r="CU50" s="145"/>
      <c r="CV50" s="145"/>
      <c r="CW50" s="145"/>
      <c r="CX50" s="145"/>
      <c r="CY50" s="161">
        <f>SUM(CY51)</f>
        <v>16200000</v>
      </c>
      <c r="CZ50" s="151"/>
      <c r="DA50" s="162"/>
    </row>
    <row r="51" spans="1:105" ht="26.1" customHeight="1" x14ac:dyDescent="0.25">
      <c r="A51" s="312" t="s">
        <v>47</v>
      </c>
      <c r="B51" s="205" t="s">
        <v>707</v>
      </c>
      <c r="C51" s="422" t="s">
        <v>47</v>
      </c>
      <c r="D51" s="205" t="s">
        <v>355</v>
      </c>
      <c r="E51" s="47" t="s">
        <v>2</v>
      </c>
      <c r="F51" s="424" t="s">
        <v>403</v>
      </c>
      <c r="G51" s="48" t="s">
        <v>393</v>
      </c>
      <c r="H51" s="48" t="s">
        <v>102</v>
      </c>
      <c r="I51" s="49"/>
      <c r="J51" s="49" t="s">
        <v>230</v>
      </c>
      <c r="K51" s="206"/>
      <c r="L51" s="207"/>
      <c r="M51" s="208"/>
      <c r="O51" s="312" t="s">
        <v>47</v>
      </c>
      <c r="P51" s="313" t="s">
        <v>3</v>
      </c>
      <c r="Q51" s="77" t="s">
        <v>403</v>
      </c>
      <c r="R51" s="77"/>
      <c r="S51" s="77" t="s">
        <v>314</v>
      </c>
      <c r="T51" s="77" t="s">
        <v>314</v>
      </c>
      <c r="U51" s="77"/>
      <c r="V51" s="77" t="s">
        <v>314</v>
      </c>
      <c r="W51" s="77"/>
      <c r="X51" s="77" t="s">
        <v>307</v>
      </c>
      <c r="Y51" s="77"/>
      <c r="Z51" s="77"/>
      <c r="AA51" s="77"/>
      <c r="AB51" s="77"/>
      <c r="AC51" s="77" t="s">
        <v>314</v>
      </c>
      <c r="AD51" s="77"/>
      <c r="AE51" s="77"/>
      <c r="AF51" s="314"/>
      <c r="AG51" s="313" t="s">
        <v>315</v>
      </c>
      <c r="AH51" s="315" t="s">
        <v>319</v>
      </c>
      <c r="AI51" s="316" t="s">
        <v>484</v>
      </c>
      <c r="AJ51" s="77"/>
      <c r="AK51" s="317">
        <v>0</v>
      </c>
      <c r="AL51" s="317">
        <v>0</v>
      </c>
      <c r="AM51" s="317">
        <v>0</v>
      </c>
      <c r="AN51" s="317">
        <v>0</v>
      </c>
      <c r="AO51" s="317">
        <v>0</v>
      </c>
      <c r="AP51" s="317">
        <v>0</v>
      </c>
      <c r="AQ51" s="317">
        <v>0</v>
      </c>
      <c r="AR51" s="317">
        <v>0</v>
      </c>
      <c r="AS51" s="317">
        <v>0</v>
      </c>
      <c r="AT51" s="317"/>
      <c r="AU51" s="317"/>
      <c r="AV51" s="317">
        <v>6</v>
      </c>
      <c r="AW51" s="317">
        <v>6</v>
      </c>
      <c r="AX51" s="317">
        <v>6</v>
      </c>
      <c r="AY51" s="317">
        <v>6</v>
      </c>
      <c r="AZ51" s="317">
        <v>6</v>
      </c>
      <c r="BA51" s="317">
        <v>6</v>
      </c>
      <c r="BB51" s="317">
        <v>6</v>
      </c>
      <c r="BC51" s="317">
        <v>6</v>
      </c>
      <c r="BD51" s="317">
        <v>6</v>
      </c>
      <c r="BE51" s="317"/>
      <c r="BF51" s="318"/>
      <c r="BG51" s="319" t="s">
        <v>4</v>
      </c>
      <c r="BH51" s="68" t="s">
        <v>312</v>
      </c>
      <c r="BI51" s="77" t="s">
        <v>323</v>
      </c>
      <c r="BJ51" s="320"/>
      <c r="BK51" s="321"/>
      <c r="BL51" s="317">
        <v>0</v>
      </c>
      <c r="BM51" s="317">
        <v>0</v>
      </c>
      <c r="BN51" s="317">
        <v>0</v>
      </c>
      <c r="BO51" s="317">
        <v>0</v>
      </c>
      <c r="BP51" s="317">
        <v>0</v>
      </c>
      <c r="BQ51" s="317">
        <v>0</v>
      </c>
      <c r="BR51" s="317">
        <v>0</v>
      </c>
      <c r="BS51" s="317">
        <v>0</v>
      </c>
      <c r="BT51" s="213">
        <f t="shared" si="88"/>
        <v>0</v>
      </c>
      <c r="BU51" s="322"/>
      <c r="BV51" s="77"/>
      <c r="BW51" s="77"/>
      <c r="BX51" s="323"/>
      <c r="BY51" s="321">
        <f>+AV51*300000</f>
        <v>1800000</v>
      </c>
      <c r="BZ51" s="317">
        <f t="shared" ref="BZ51:CG51" si="100">+AW51*300000</f>
        <v>1800000</v>
      </c>
      <c r="CA51" s="317">
        <f t="shared" si="100"/>
        <v>1800000</v>
      </c>
      <c r="CB51" s="317">
        <f t="shared" si="100"/>
        <v>1800000</v>
      </c>
      <c r="CC51" s="317">
        <f t="shared" si="100"/>
        <v>1800000</v>
      </c>
      <c r="CD51" s="317">
        <f t="shared" si="100"/>
        <v>1800000</v>
      </c>
      <c r="CE51" s="317">
        <f t="shared" si="100"/>
        <v>1800000</v>
      </c>
      <c r="CF51" s="317">
        <f t="shared" si="100"/>
        <v>1800000</v>
      </c>
      <c r="CG51" s="324">
        <f t="shared" si="100"/>
        <v>1800000</v>
      </c>
      <c r="CH51" s="217">
        <f t="shared" ref="CH51:CP51" si="101">+BY51-BK51</f>
        <v>1800000</v>
      </c>
      <c r="CI51" s="170">
        <f t="shared" si="101"/>
        <v>1800000</v>
      </c>
      <c r="CJ51" s="170">
        <f t="shared" si="101"/>
        <v>1800000</v>
      </c>
      <c r="CK51" s="170">
        <f t="shared" si="101"/>
        <v>1800000</v>
      </c>
      <c r="CL51" s="170">
        <f t="shared" si="101"/>
        <v>1800000</v>
      </c>
      <c r="CM51" s="170">
        <f t="shared" si="101"/>
        <v>1800000</v>
      </c>
      <c r="CN51" s="170">
        <f t="shared" si="101"/>
        <v>1800000</v>
      </c>
      <c r="CO51" s="170">
        <f t="shared" si="101"/>
        <v>1800000</v>
      </c>
      <c r="CP51" s="170">
        <f t="shared" si="101"/>
        <v>1800000</v>
      </c>
      <c r="CQ51" s="218">
        <f>SUM(CH51:CP51)</f>
        <v>16200000</v>
      </c>
      <c r="CR51" s="325"/>
      <c r="CS51" s="326"/>
      <c r="CT51" s="326"/>
      <c r="CU51" s="315"/>
      <c r="CV51" s="315"/>
      <c r="CW51" s="315"/>
      <c r="CX51" s="315"/>
      <c r="CY51" s="221">
        <f>+CQ51-CS51*550</f>
        <v>16200000</v>
      </c>
      <c r="CZ51" s="327"/>
      <c r="DA51" s="328"/>
    </row>
    <row r="52" spans="1:105" ht="26.1" customHeight="1" x14ac:dyDescent="0.25">
      <c r="A52" s="286" t="s">
        <v>48</v>
      </c>
      <c r="B52" s="287" t="s">
        <v>708</v>
      </c>
      <c r="C52" s="286" t="s">
        <v>48</v>
      </c>
      <c r="D52" s="287" t="s">
        <v>355</v>
      </c>
      <c r="E52" s="63" t="s">
        <v>490</v>
      </c>
      <c r="F52" s="288"/>
      <c r="G52" s="64"/>
      <c r="H52" s="65"/>
      <c r="I52" s="66"/>
      <c r="J52" s="66"/>
      <c r="K52" s="289" t="s">
        <v>258</v>
      </c>
      <c r="L52" s="290"/>
      <c r="M52" s="291"/>
      <c r="O52" s="286" t="s">
        <v>48</v>
      </c>
      <c r="P52" s="292"/>
      <c r="Q52" s="288"/>
      <c r="R52" s="288"/>
      <c r="S52" s="288"/>
      <c r="T52" s="288"/>
      <c r="U52" s="288"/>
      <c r="V52" s="288"/>
      <c r="W52" s="288"/>
      <c r="X52" s="288"/>
      <c r="Y52" s="288"/>
      <c r="Z52" s="288"/>
      <c r="AA52" s="288"/>
      <c r="AB52" s="288"/>
      <c r="AC52" s="288"/>
      <c r="AD52" s="288"/>
      <c r="AE52" s="288"/>
      <c r="AF52" s="293"/>
      <c r="AG52" s="292"/>
      <c r="AH52" s="288"/>
      <c r="AI52" s="288"/>
      <c r="AJ52" s="288"/>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5"/>
      <c r="BG52" s="292"/>
      <c r="BH52" s="288"/>
      <c r="BI52" s="296"/>
      <c r="BJ52" s="299">
        <f t="shared" ref="BJ52:BS52" si="102">SUM(BJ53)</f>
        <v>0</v>
      </c>
      <c r="BK52" s="298">
        <f t="shared" si="102"/>
        <v>0</v>
      </c>
      <c r="BL52" s="294">
        <f t="shared" si="102"/>
        <v>100000</v>
      </c>
      <c r="BM52" s="294">
        <f t="shared" si="102"/>
        <v>250000</v>
      </c>
      <c r="BN52" s="294">
        <f t="shared" si="102"/>
        <v>250000</v>
      </c>
      <c r="BO52" s="294">
        <f t="shared" si="102"/>
        <v>250000</v>
      </c>
      <c r="BP52" s="294">
        <f t="shared" si="102"/>
        <v>250000</v>
      </c>
      <c r="BQ52" s="294">
        <f t="shared" si="102"/>
        <v>250000</v>
      </c>
      <c r="BR52" s="294">
        <f t="shared" si="102"/>
        <v>250000</v>
      </c>
      <c r="BS52" s="294">
        <f t="shared" si="102"/>
        <v>250000</v>
      </c>
      <c r="BT52" s="299">
        <f t="shared" si="88"/>
        <v>1850000</v>
      </c>
      <c r="BU52" s="300"/>
      <c r="BV52" s="288"/>
      <c r="BW52" s="288"/>
      <c r="BX52" s="301"/>
      <c r="BY52" s="298">
        <f t="shared" ref="BY52:CP52" si="103">SUM(BY53)</f>
        <v>10000000</v>
      </c>
      <c r="BZ52" s="294">
        <f t="shared" si="103"/>
        <v>13000000</v>
      </c>
      <c r="CA52" s="294">
        <f t="shared" si="103"/>
        <v>12000000</v>
      </c>
      <c r="CB52" s="294">
        <f t="shared" si="103"/>
        <v>0</v>
      </c>
      <c r="CC52" s="294">
        <f t="shared" si="103"/>
        <v>12000000</v>
      </c>
      <c r="CD52" s="294">
        <f t="shared" si="103"/>
        <v>0</v>
      </c>
      <c r="CE52" s="294">
        <f t="shared" si="103"/>
        <v>12000000</v>
      </c>
      <c r="CF52" s="294">
        <f t="shared" si="103"/>
        <v>0</v>
      </c>
      <c r="CG52" s="299">
        <f t="shared" si="103"/>
        <v>12000000</v>
      </c>
      <c r="CH52" s="298">
        <f t="shared" si="103"/>
        <v>10000000</v>
      </c>
      <c r="CI52" s="294">
        <f t="shared" si="103"/>
        <v>12900000</v>
      </c>
      <c r="CJ52" s="294">
        <f t="shared" si="103"/>
        <v>11750000</v>
      </c>
      <c r="CK52" s="294">
        <f t="shared" si="103"/>
        <v>-250000</v>
      </c>
      <c r="CL52" s="294">
        <f t="shared" si="103"/>
        <v>11750000</v>
      </c>
      <c r="CM52" s="294">
        <f t="shared" si="103"/>
        <v>-250000</v>
      </c>
      <c r="CN52" s="294">
        <f t="shared" si="103"/>
        <v>11750000</v>
      </c>
      <c r="CO52" s="294">
        <f t="shared" si="103"/>
        <v>-250000</v>
      </c>
      <c r="CP52" s="294">
        <f t="shared" si="103"/>
        <v>11750000</v>
      </c>
      <c r="CQ52" s="299">
        <f t="shared" si="93"/>
        <v>69150000</v>
      </c>
      <c r="CR52" s="300"/>
      <c r="CS52" s="302">
        <f>SUM(CS53)</f>
        <v>0</v>
      </c>
      <c r="CT52" s="288"/>
      <c r="CU52" s="288"/>
      <c r="CV52" s="288"/>
      <c r="CW52" s="288"/>
      <c r="CX52" s="288"/>
      <c r="CY52" s="303">
        <f>SUM(CY53)</f>
        <v>69150000</v>
      </c>
      <c r="CZ52" s="293"/>
      <c r="DA52" s="304"/>
    </row>
    <row r="53" spans="1:105" ht="26.1" customHeight="1" x14ac:dyDescent="0.25">
      <c r="A53" s="204" t="s">
        <v>49</v>
      </c>
      <c r="B53" s="205" t="s">
        <v>709</v>
      </c>
      <c r="C53" s="204" t="s">
        <v>49</v>
      </c>
      <c r="D53" s="205" t="s">
        <v>355</v>
      </c>
      <c r="E53" s="47" t="s">
        <v>490</v>
      </c>
      <c r="F53" s="48" t="s">
        <v>404</v>
      </c>
      <c r="G53" s="48" t="s">
        <v>394</v>
      </c>
      <c r="H53" s="48" t="s">
        <v>113</v>
      </c>
      <c r="I53" s="49" t="s">
        <v>216</v>
      </c>
      <c r="J53" s="49" t="s">
        <v>230</v>
      </c>
      <c r="K53" s="206"/>
      <c r="L53" s="207"/>
      <c r="M53" s="208"/>
      <c r="O53" s="204" t="s">
        <v>49</v>
      </c>
      <c r="P53" s="47" t="s">
        <v>50</v>
      </c>
      <c r="Q53" s="48" t="s">
        <v>451</v>
      </c>
      <c r="R53" s="48" t="s">
        <v>314</v>
      </c>
      <c r="S53" s="48" t="s">
        <v>314</v>
      </c>
      <c r="T53" s="48" t="s">
        <v>314</v>
      </c>
      <c r="U53" s="48"/>
      <c r="V53" s="48" t="s">
        <v>314</v>
      </c>
      <c r="W53" s="48"/>
      <c r="X53" s="48" t="s">
        <v>307</v>
      </c>
      <c r="Y53" s="48"/>
      <c r="Z53" s="48"/>
      <c r="AA53" s="48"/>
      <c r="AB53" s="48"/>
      <c r="AC53" s="48"/>
      <c r="AD53" s="48"/>
      <c r="AE53" s="48"/>
      <c r="AF53" s="209"/>
      <c r="AG53" s="47" t="s">
        <v>315</v>
      </c>
      <c r="AH53" s="210" t="s">
        <v>319</v>
      </c>
      <c r="AI53" s="68" t="s">
        <v>452</v>
      </c>
      <c r="AJ53" s="439"/>
      <c r="AK53" s="436"/>
      <c r="AL53" s="438">
        <v>0.02</v>
      </c>
      <c r="AM53" s="438">
        <v>0.02</v>
      </c>
      <c r="AN53" s="438">
        <v>0.05</v>
      </c>
      <c r="AO53" s="438">
        <v>0.05</v>
      </c>
      <c r="AP53" s="438">
        <v>0.05</v>
      </c>
      <c r="AQ53" s="438">
        <v>0.05</v>
      </c>
      <c r="AR53" s="438">
        <v>0.05</v>
      </c>
      <c r="AS53" s="438">
        <v>0.05</v>
      </c>
      <c r="AT53" s="48"/>
      <c r="AU53" s="48"/>
      <c r="AV53" s="438">
        <v>0.05</v>
      </c>
      <c r="AW53" s="438">
        <v>0.15</v>
      </c>
      <c r="AX53" s="438">
        <v>0.2</v>
      </c>
      <c r="AY53" s="438">
        <v>0.2</v>
      </c>
      <c r="AZ53" s="438">
        <v>0.2</v>
      </c>
      <c r="BA53" s="438">
        <v>0.2</v>
      </c>
      <c r="BB53" s="436"/>
      <c r="BC53" s="436"/>
      <c r="BD53" s="436"/>
      <c r="BE53" s="48"/>
      <c r="BF53" s="48"/>
      <c r="BG53" s="206" t="s">
        <v>446</v>
      </c>
      <c r="BH53" s="257" t="s">
        <v>349</v>
      </c>
      <c r="BI53" s="48" t="s">
        <v>313</v>
      </c>
      <c r="BJ53" s="211"/>
      <c r="BK53" s="212">
        <v>0</v>
      </c>
      <c r="BL53" s="170">
        <v>100000</v>
      </c>
      <c r="BM53" s="170">
        <v>250000</v>
      </c>
      <c r="BN53" s="170">
        <v>250000</v>
      </c>
      <c r="BO53" s="170">
        <v>250000</v>
      </c>
      <c r="BP53" s="170">
        <v>250000</v>
      </c>
      <c r="BQ53" s="170">
        <v>250000</v>
      </c>
      <c r="BR53" s="170">
        <v>250000</v>
      </c>
      <c r="BS53" s="170">
        <v>250000</v>
      </c>
      <c r="BT53" s="213">
        <f t="shared" si="88"/>
        <v>1850000</v>
      </c>
      <c r="BU53" s="285">
        <v>1</v>
      </c>
      <c r="BV53" s="48"/>
      <c r="BW53" s="48"/>
      <c r="BX53" s="216"/>
      <c r="BY53" s="212">
        <v>10000000</v>
      </c>
      <c r="BZ53" s="170">
        <v>13000000</v>
      </c>
      <c r="CA53" s="170">
        <v>12000000</v>
      </c>
      <c r="CB53" s="170">
        <v>0</v>
      </c>
      <c r="CC53" s="170">
        <v>12000000</v>
      </c>
      <c r="CD53" s="170">
        <v>0</v>
      </c>
      <c r="CE53" s="170">
        <v>12000000</v>
      </c>
      <c r="CF53" s="170">
        <v>0</v>
      </c>
      <c r="CG53" s="213">
        <v>12000000</v>
      </c>
      <c r="CH53" s="217">
        <f>+BY53-BK53</f>
        <v>10000000</v>
      </c>
      <c r="CI53" s="217">
        <f t="shared" ref="CI53:CP53" si="104">+BZ53-BL53</f>
        <v>12900000</v>
      </c>
      <c r="CJ53" s="217">
        <f t="shared" si="104"/>
        <v>11750000</v>
      </c>
      <c r="CK53" s="217">
        <f t="shared" si="104"/>
        <v>-250000</v>
      </c>
      <c r="CL53" s="217">
        <f t="shared" si="104"/>
        <v>11750000</v>
      </c>
      <c r="CM53" s="217">
        <f t="shared" si="104"/>
        <v>-250000</v>
      </c>
      <c r="CN53" s="217">
        <f t="shared" si="104"/>
        <v>11750000</v>
      </c>
      <c r="CO53" s="217">
        <f t="shared" si="104"/>
        <v>-250000</v>
      </c>
      <c r="CP53" s="217">
        <f t="shared" si="104"/>
        <v>11750000</v>
      </c>
      <c r="CQ53" s="218">
        <f>SUM(CH53:CP53)</f>
        <v>69150000</v>
      </c>
      <c r="CR53" s="219"/>
      <c r="CS53" s="220"/>
      <c r="CT53" s="220"/>
      <c r="CU53" s="210"/>
      <c r="CV53" s="210"/>
      <c r="CW53" s="210"/>
      <c r="CX53" s="210"/>
      <c r="CY53" s="221">
        <f>+CQ53-CS53*550</f>
        <v>69150000</v>
      </c>
      <c r="CZ53" s="222"/>
      <c r="DA53" s="258"/>
    </row>
    <row r="54" spans="1:105" ht="26.1" customHeight="1" x14ac:dyDescent="0.25">
      <c r="A54" s="123" t="s">
        <v>51</v>
      </c>
      <c r="B54" s="124" t="s">
        <v>710</v>
      </c>
      <c r="C54" s="123" t="s">
        <v>51</v>
      </c>
      <c r="D54" s="124"/>
      <c r="E54" s="55"/>
      <c r="F54" s="126"/>
      <c r="G54" s="56"/>
      <c r="H54" s="58"/>
      <c r="I54" s="57"/>
      <c r="J54" s="57"/>
      <c r="K54" s="128"/>
      <c r="L54" s="129"/>
      <c r="M54" s="130"/>
      <c r="O54" s="123" t="s">
        <v>51</v>
      </c>
      <c r="P54" s="131"/>
      <c r="Q54" s="126"/>
      <c r="R54" s="126"/>
      <c r="S54" s="126"/>
      <c r="T54" s="126"/>
      <c r="U54" s="126"/>
      <c r="V54" s="126"/>
      <c r="W54" s="126"/>
      <c r="X54" s="126"/>
      <c r="Y54" s="126"/>
      <c r="Z54" s="126"/>
      <c r="AA54" s="126"/>
      <c r="AB54" s="126"/>
      <c r="AC54" s="126"/>
      <c r="AD54" s="126"/>
      <c r="AE54" s="126"/>
      <c r="AF54" s="132"/>
      <c r="AG54" s="131"/>
      <c r="AH54" s="126"/>
      <c r="AI54" s="126"/>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263"/>
      <c r="BG54" s="131"/>
      <c r="BH54" s="126"/>
      <c r="BI54" s="134"/>
      <c r="BJ54" s="135">
        <f>+BJ55+BJ59</f>
        <v>0</v>
      </c>
      <c r="BK54" s="136">
        <f>+BK55+BK59</f>
        <v>920512108.46702313</v>
      </c>
      <c r="BL54" s="133">
        <f>+BL55+BL59</f>
        <v>927312108.46702313</v>
      </c>
      <c r="BM54" s="133">
        <f t="shared" ref="BM54:BS54" si="105">+BM55+BM59</f>
        <v>923912108.46702313</v>
      </c>
      <c r="BN54" s="133">
        <f t="shared" si="105"/>
        <v>590245441.80035651</v>
      </c>
      <c r="BO54" s="133">
        <f t="shared" si="105"/>
        <v>586845441.80035651</v>
      </c>
      <c r="BP54" s="133">
        <f t="shared" si="105"/>
        <v>586845441.80035651</v>
      </c>
      <c r="BQ54" s="133">
        <f t="shared" si="105"/>
        <v>586845441.80035651</v>
      </c>
      <c r="BR54" s="133">
        <f t="shared" si="105"/>
        <v>586845441.80035651</v>
      </c>
      <c r="BS54" s="133">
        <f t="shared" si="105"/>
        <v>586845441.80035651</v>
      </c>
      <c r="BT54" s="137">
        <f t="shared" si="88"/>
        <v>6296208976.2032099</v>
      </c>
      <c r="BU54" s="138"/>
      <c r="BV54" s="126"/>
      <c r="BW54" s="126"/>
      <c r="BX54" s="139"/>
      <c r="BY54" s="136">
        <f t="shared" ref="BY54:CP54" si="106">+BY55+BY59</f>
        <v>1412182550.2673798</v>
      </c>
      <c r="BZ54" s="133">
        <f t="shared" si="106"/>
        <v>1429282550.2673798</v>
      </c>
      <c r="CA54" s="133">
        <f t="shared" si="106"/>
        <v>1415682550.2673798</v>
      </c>
      <c r="CB54" s="133">
        <f t="shared" si="106"/>
        <v>1448682550.267379</v>
      </c>
      <c r="CC54" s="133">
        <f t="shared" si="106"/>
        <v>1441882550.267379</v>
      </c>
      <c r="CD54" s="133">
        <f t="shared" si="106"/>
        <v>1441882550.267379</v>
      </c>
      <c r="CE54" s="133">
        <f t="shared" si="106"/>
        <v>1441882550.267379</v>
      </c>
      <c r="CF54" s="133">
        <f t="shared" si="106"/>
        <v>1441882550.267379</v>
      </c>
      <c r="CG54" s="137">
        <f t="shared" si="106"/>
        <v>1441882550.267379</v>
      </c>
      <c r="CH54" s="136">
        <f t="shared" si="106"/>
        <v>491670441.80035651</v>
      </c>
      <c r="CI54" s="133">
        <f t="shared" si="106"/>
        <v>501970441.80035651</v>
      </c>
      <c r="CJ54" s="133">
        <f t="shared" si="106"/>
        <v>491770441.80035651</v>
      </c>
      <c r="CK54" s="133">
        <f t="shared" si="106"/>
        <v>858437108.46702254</v>
      </c>
      <c r="CL54" s="133">
        <f t="shared" si="106"/>
        <v>855037108.46702254</v>
      </c>
      <c r="CM54" s="133">
        <f t="shared" si="106"/>
        <v>855037108.46702254</v>
      </c>
      <c r="CN54" s="133">
        <f t="shared" si="106"/>
        <v>855037108.46702254</v>
      </c>
      <c r="CO54" s="133">
        <f t="shared" si="106"/>
        <v>855037108.46702254</v>
      </c>
      <c r="CP54" s="133">
        <f t="shared" si="106"/>
        <v>855037108.46702254</v>
      </c>
      <c r="CQ54" s="137">
        <f t="shared" si="93"/>
        <v>6619033976.2032051</v>
      </c>
      <c r="CR54" s="138"/>
      <c r="CS54" s="140">
        <f>+CS55+CS59</f>
        <v>6000</v>
      </c>
      <c r="CT54" s="126"/>
      <c r="CU54" s="126"/>
      <c r="CV54" s="126"/>
      <c r="CW54" s="126"/>
      <c r="CX54" s="126"/>
      <c r="CY54" s="141">
        <f>+CY55+CY59</f>
        <v>6615733976.2032042</v>
      </c>
      <c r="CZ54" s="132"/>
      <c r="DA54" s="142"/>
    </row>
    <row r="55" spans="1:105" ht="26.1" customHeight="1" x14ac:dyDescent="0.25">
      <c r="A55" s="286" t="s">
        <v>52</v>
      </c>
      <c r="B55" s="287" t="s">
        <v>711</v>
      </c>
      <c r="C55" s="286" t="s">
        <v>52</v>
      </c>
      <c r="D55" s="287" t="s">
        <v>355</v>
      </c>
      <c r="E55" s="63" t="s">
        <v>656</v>
      </c>
      <c r="F55" s="288"/>
      <c r="G55" s="64"/>
      <c r="H55" s="65"/>
      <c r="I55" s="66"/>
      <c r="J55" s="66"/>
      <c r="K55" s="289"/>
      <c r="L55" s="290"/>
      <c r="M55" s="291"/>
      <c r="O55" s="286" t="s">
        <v>52</v>
      </c>
      <c r="P55" s="292"/>
      <c r="Q55" s="288"/>
      <c r="R55" s="288"/>
      <c r="S55" s="288"/>
      <c r="T55" s="288"/>
      <c r="U55" s="288"/>
      <c r="V55" s="288"/>
      <c r="W55" s="288"/>
      <c r="X55" s="288"/>
      <c r="Y55" s="288"/>
      <c r="Z55" s="288"/>
      <c r="AA55" s="288"/>
      <c r="AB55" s="288"/>
      <c r="AC55" s="288"/>
      <c r="AD55" s="288"/>
      <c r="AE55" s="288"/>
      <c r="AF55" s="293"/>
      <c r="AG55" s="292"/>
      <c r="AH55" s="288"/>
      <c r="AI55" s="288"/>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5"/>
      <c r="BG55" s="292"/>
      <c r="BH55" s="288"/>
      <c r="BI55" s="296"/>
      <c r="BJ55" s="297">
        <f>+BJ56+BJ57</f>
        <v>0</v>
      </c>
      <c r="BK55" s="298">
        <f>+BK56+BK57</f>
        <v>488370441.80035651</v>
      </c>
      <c r="BL55" s="294">
        <f>+BL56+BL57</f>
        <v>488370441.80035651</v>
      </c>
      <c r="BM55" s="294">
        <f t="shared" ref="BM55:BS55" si="107">+BM56+BM57</f>
        <v>488370441.80035651</v>
      </c>
      <c r="BN55" s="294">
        <f t="shared" si="107"/>
        <v>488370441.80035651</v>
      </c>
      <c r="BO55" s="294">
        <f t="shared" si="107"/>
        <v>488370441.80035651</v>
      </c>
      <c r="BP55" s="294">
        <f t="shared" si="107"/>
        <v>488370441.80035651</v>
      </c>
      <c r="BQ55" s="294">
        <f t="shared" si="107"/>
        <v>488370441.80035651</v>
      </c>
      <c r="BR55" s="294">
        <f t="shared" si="107"/>
        <v>488370441.80035651</v>
      </c>
      <c r="BS55" s="294">
        <f t="shared" si="107"/>
        <v>488370441.80035651</v>
      </c>
      <c r="BT55" s="299">
        <f t="shared" si="88"/>
        <v>4395333976.203208</v>
      </c>
      <c r="BU55" s="300"/>
      <c r="BV55" s="288"/>
      <c r="BW55" s="288"/>
      <c r="BX55" s="301"/>
      <c r="BY55" s="298">
        <f t="shared" ref="BY55:CP55" si="108">+BY56+BY57</f>
        <v>976740883.60071301</v>
      </c>
      <c r="BZ55" s="294">
        <f t="shared" si="108"/>
        <v>976740883.60071301</v>
      </c>
      <c r="CA55" s="294">
        <f t="shared" si="108"/>
        <v>976740883.60071301</v>
      </c>
      <c r="CB55" s="294">
        <f t="shared" si="108"/>
        <v>976740883.60071301</v>
      </c>
      <c r="CC55" s="294">
        <f t="shared" si="108"/>
        <v>976740883.60071301</v>
      </c>
      <c r="CD55" s="294">
        <f t="shared" si="108"/>
        <v>976740883.60071301</v>
      </c>
      <c r="CE55" s="294">
        <f t="shared" si="108"/>
        <v>976740883.60071301</v>
      </c>
      <c r="CF55" s="294">
        <f t="shared" si="108"/>
        <v>976740883.60071301</v>
      </c>
      <c r="CG55" s="299">
        <f t="shared" si="108"/>
        <v>976740883.60071301</v>
      </c>
      <c r="CH55" s="298">
        <f t="shared" si="108"/>
        <v>488370441.80035651</v>
      </c>
      <c r="CI55" s="294">
        <f t="shared" si="108"/>
        <v>488370441.80035651</v>
      </c>
      <c r="CJ55" s="294">
        <f t="shared" si="108"/>
        <v>488370441.80035651</v>
      </c>
      <c r="CK55" s="294">
        <f t="shared" si="108"/>
        <v>488370441.80035651</v>
      </c>
      <c r="CL55" s="294">
        <f t="shared" si="108"/>
        <v>488370441.80035651</v>
      </c>
      <c r="CM55" s="294">
        <f t="shared" si="108"/>
        <v>488370441.80035651</v>
      </c>
      <c r="CN55" s="294">
        <f t="shared" si="108"/>
        <v>488370441.80035651</v>
      </c>
      <c r="CO55" s="294">
        <f t="shared" si="108"/>
        <v>488370441.80035651</v>
      </c>
      <c r="CP55" s="294">
        <f t="shared" si="108"/>
        <v>488370441.80035651</v>
      </c>
      <c r="CQ55" s="299">
        <f t="shared" si="93"/>
        <v>4395333976.203208</v>
      </c>
      <c r="CR55" s="300"/>
      <c r="CS55" s="302">
        <f>+CS56+CS57</f>
        <v>0</v>
      </c>
      <c r="CT55" s="288"/>
      <c r="CU55" s="288"/>
      <c r="CV55" s="288"/>
      <c r="CW55" s="288"/>
      <c r="CX55" s="288"/>
      <c r="CY55" s="303">
        <f>+CY56+CY57</f>
        <v>4395333976.203208</v>
      </c>
      <c r="CZ55" s="293"/>
      <c r="DA55" s="304"/>
    </row>
    <row r="56" spans="1:105" ht="27.75" customHeight="1" x14ac:dyDescent="0.25">
      <c r="A56" s="143" t="s">
        <v>53</v>
      </c>
      <c r="B56" s="144" t="s">
        <v>712</v>
      </c>
      <c r="C56" s="143" t="s">
        <v>53</v>
      </c>
      <c r="D56" s="144" t="s">
        <v>355</v>
      </c>
      <c r="E56" s="59" t="s">
        <v>1</v>
      </c>
      <c r="F56" s="145"/>
      <c r="G56" s="60"/>
      <c r="H56" s="61"/>
      <c r="I56" s="62"/>
      <c r="J56" s="62"/>
      <c r="K56" s="147" t="s">
        <v>253</v>
      </c>
      <c r="L56" s="148" t="s">
        <v>254</v>
      </c>
      <c r="M56" s="148" t="s">
        <v>255</v>
      </c>
      <c r="N56" s="329"/>
      <c r="O56" s="143" t="s">
        <v>53</v>
      </c>
      <c r="P56" s="150"/>
      <c r="Q56" s="145"/>
      <c r="R56" s="145"/>
      <c r="S56" s="145"/>
      <c r="T56" s="145"/>
      <c r="U56" s="145"/>
      <c r="V56" s="145"/>
      <c r="W56" s="145"/>
      <c r="X56" s="145"/>
      <c r="Y56" s="145"/>
      <c r="Z56" s="145"/>
      <c r="AA56" s="145"/>
      <c r="AB56" s="145"/>
      <c r="AC56" s="145"/>
      <c r="AD56" s="145"/>
      <c r="AE56" s="145"/>
      <c r="AF56" s="151"/>
      <c r="AG56" s="150"/>
      <c r="AH56" s="145"/>
      <c r="AI56" s="145"/>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254"/>
      <c r="BG56" s="150"/>
      <c r="BH56" s="154" t="s">
        <v>355</v>
      </c>
      <c r="BI56" s="155"/>
      <c r="BJ56" s="159"/>
      <c r="BK56" s="157"/>
      <c r="BL56" s="152"/>
      <c r="BM56" s="152"/>
      <c r="BN56" s="152"/>
      <c r="BO56" s="152"/>
      <c r="BP56" s="152"/>
      <c r="BQ56" s="152"/>
      <c r="BR56" s="152"/>
      <c r="BS56" s="152"/>
      <c r="BT56" s="156"/>
      <c r="BU56" s="158"/>
      <c r="BV56" s="145"/>
      <c r="BW56" s="145"/>
      <c r="BX56" s="159"/>
      <c r="BY56" s="157"/>
      <c r="BZ56" s="152"/>
      <c r="CA56" s="152"/>
      <c r="CB56" s="152"/>
      <c r="CC56" s="152"/>
      <c r="CD56" s="152"/>
      <c r="CE56" s="152"/>
      <c r="CF56" s="152"/>
      <c r="CG56" s="156"/>
      <c r="CH56" s="157"/>
      <c r="CI56" s="152"/>
      <c r="CJ56" s="152"/>
      <c r="CK56" s="152"/>
      <c r="CL56" s="152"/>
      <c r="CM56" s="152"/>
      <c r="CN56" s="152"/>
      <c r="CO56" s="152"/>
      <c r="CP56" s="152"/>
      <c r="CQ56" s="156"/>
      <c r="CR56" s="158"/>
      <c r="CS56" s="145"/>
      <c r="CT56" s="145"/>
      <c r="CU56" s="145"/>
      <c r="CV56" s="145"/>
      <c r="CW56" s="145"/>
      <c r="CX56" s="145"/>
      <c r="CY56" s="145"/>
      <c r="CZ56" s="151"/>
      <c r="DA56" s="162"/>
    </row>
    <row r="57" spans="1:105" ht="26.1" customHeight="1" x14ac:dyDescent="0.25">
      <c r="A57" s="143" t="s">
        <v>58</v>
      </c>
      <c r="B57" s="144" t="s">
        <v>713</v>
      </c>
      <c r="C57" s="143" t="s">
        <v>58</v>
      </c>
      <c r="D57" s="144" t="s">
        <v>355</v>
      </c>
      <c r="E57" s="59" t="s">
        <v>3</v>
      </c>
      <c r="F57" s="145"/>
      <c r="G57" s="60"/>
      <c r="H57" s="61"/>
      <c r="I57" s="62"/>
      <c r="J57" s="62"/>
      <c r="K57" s="147" t="s">
        <v>253</v>
      </c>
      <c r="L57" s="148" t="s">
        <v>254</v>
      </c>
      <c r="M57" s="148" t="s">
        <v>255</v>
      </c>
      <c r="N57" s="329"/>
      <c r="O57" s="143" t="s">
        <v>58</v>
      </c>
      <c r="P57" s="150"/>
      <c r="Q57" s="145"/>
      <c r="R57" s="145"/>
      <c r="S57" s="145"/>
      <c r="T57" s="145"/>
      <c r="U57" s="145"/>
      <c r="V57" s="145"/>
      <c r="W57" s="145"/>
      <c r="X57" s="145"/>
      <c r="Y57" s="145"/>
      <c r="Z57" s="145"/>
      <c r="AA57" s="145"/>
      <c r="AB57" s="145"/>
      <c r="AC57" s="145"/>
      <c r="AD57" s="145"/>
      <c r="AE57" s="145"/>
      <c r="AF57" s="151"/>
      <c r="AG57" s="150"/>
      <c r="AH57" s="145"/>
      <c r="AI57" s="145"/>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254"/>
      <c r="BG57" s="150"/>
      <c r="BH57" s="154" t="s">
        <v>355</v>
      </c>
      <c r="BI57" s="155"/>
      <c r="BJ57" s="156">
        <f t="shared" ref="BJ57:BS57" si="109">SUM(BJ58)</f>
        <v>0</v>
      </c>
      <c r="BK57" s="157">
        <f t="shared" si="109"/>
        <v>488370441.80035651</v>
      </c>
      <c r="BL57" s="152">
        <f t="shared" si="109"/>
        <v>488370441.80035651</v>
      </c>
      <c r="BM57" s="152">
        <f t="shared" si="109"/>
        <v>488370441.80035651</v>
      </c>
      <c r="BN57" s="152">
        <f t="shared" si="109"/>
        <v>488370441.80035651</v>
      </c>
      <c r="BO57" s="152">
        <f t="shared" si="109"/>
        <v>488370441.80035651</v>
      </c>
      <c r="BP57" s="152">
        <f t="shared" si="109"/>
        <v>488370441.80035651</v>
      </c>
      <c r="BQ57" s="152">
        <f t="shared" si="109"/>
        <v>488370441.80035651</v>
      </c>
      <c r="BR57" s="152">
        <f t="shared" si="109"/>
        <v>488370441.80035651</v>
      </c>
      <c r="BS57" s="152">
        <f t="shared" si="109"/>
        <v>488370441.80035651</v>
      </c>
      <c r="BT57" s="156">
        <f t="shared" ref="BT57:BT62" si="110">SUM(BK57:BS57)</f>
        <v>4395333976.203208</v>
      </c>
      <c r="BU57" s="158"/>
      <c r="BV57" s="145"/>
      <c r="BW57" s="145"/>
      <c r="BX57" s="159"/>
      <c r="BY57" s="157">
        <f t="shared" ref="BY57:CP57" si="111">SUM(BY58)</f>
        <v>976740883.60071301</v>
      </c>
      <c r="BZ57" s="152">
        <f t="shared" si="111"/>
        <v>976740883.60071301</v>
      </c>
      <c r="CA57" s="152">
        <f t="shared" si="111"/>
        <v>976740883.60071301</v>
      </c>
      <c r="CB57" s="152">
        <f t="shared" si="111"/>
        <v>976740883.60071301</v>
      </c>
      <c r="CC57" s="152">
        <f t="shared" si="111"/>
        <v>976740883.60071301</v>
      </c>
      <c r="CD57" s="152">
        <f t="shared" si="111"/>
        <v>976740883.60071301</v>
      </c>
      <c r="CE57" s="152">
        <f t="shared" si="111"/>
        <v>976740883.60071301</v>
      </c>
      <c r="CF57" s="152">
        <f t="shared" si="111"/>
        <v>976740883.60071301</v>
      </c>
      <c r="CG57" s="156">
        <f t="shared" si="111"/>
        <v>976740883.60071301</v>
      </c>
      <c r="CH57" s="157">
        <f t="shared" si="111"/>
        <v>488370441.80035651</v>
      </c>
      <c r="CI57" s="152">
        <f t="shared" si="111"/>
        <v>488370441.80035651</v>
      </c>
      <c r="CJ57" s="152">
        <f t="shared" si="111"/>
        <v>488370441.80035651</v>
      </c>
      <c r="CK57" s="152">
        <f t="shared" si="111"/>
        <v>488370441.80035651</v>
      </c>
      <c r="CL57" s="152">
        <f t="shared" si="111"/>
        <v>488370441.80035651</v>
      </c>
      <c r="CM57" s="152">
        <f t="shared" si="111"/>
        <v>488370441.80035651</v>
      </c>
      <c r="CN57" s="152">
        <f t="shared" si="111"/>
        <v>488370441.80035651</v>
      </c>
      <c r="CO57" s="152">
        <f t="shared" si="111"/>
        <v>488370441.80035651</v>
      </c>
      <c r="CP57" s="152">
        <f t="shared" si="111"/>
        <v>488370441.80035651</v>
      </c>
      <c r="CQ57" s="156">
        <f t="shared" ref="CQ57:CQ66" si="112">SUM(CH57:CP57)</f>
        <v>4395333976.203208</v>
      </c>
      <c r="CR57" s="158"/>
      <c r="CS57" s="160">
        <f>SUM(CS58)</f>
        <v>0</v>
      </c>
      <c r="CT57" s="145"/>
      <c r="CU57" s="145"/>
      <c r="CV57" s="145"/>
      <c r="CW57" s="145"/>
      <c r="CX57" s="145"/>
      <c r="CY57" s="161">
        <f>SUM(CY58)</f>
        <v>4395333976.203208</v>
      </c>
      <c r="CZ57" s="151"/>
      <c r="DA57" s="162"/>
    </row>
    <row r="58" spans="1:105" ht="26.1" customHeight="1" x14ac:dyDescent="0.25">
      <c r="A58" s="204" t="s">
        <v>59</v>
      </c>
      <c r="B58" s="205" t="s">
        <v>714</v>
      </c>
      <c r="C58" s="204" t="s">
        <v>59</v>
      </c>
      <c r="D58" s="205" t="s">
        <v>355</v>
      </c>
      <c r="E58" s="47" t="s">
        <v>3</v>
      </c>
      <c r="F58" s="48" t="s">
        <v>655</v>
      </c>
      <c r="G58" s="48" t="s">
        <v>396</v>
      </c>
      <c r="H58" s="48" t="s">
        <v>116</v>
      </c>
      <c r="I58" s="49"/>
      <c r="J58" s="49" t="s">
        <v>230</v>
      </c>
      <c r="K58" s="206"/>
      <c r="L58" s="207"/>
      <c r="M58" s="208"/>
      <c r="O58" s="204" t="s">
        <v>59</v>
      </c>
      <c r="P58" s="47" t="s">
        <v>3</v>
      </c>
      <c r="Q58" s="48" t="s">
        <v>456</v>
      </c>
      <c r="R58" s="48" t="s">
        <v>314</v>
      </c>
      <c r="S58" s="48"/>
      <c r="T58" s="48" t="s">
        <v>314</v>
      </c>
      <c r="U58" s="48" t="s">
        <v>314</v>
      </c>
      <c r="V58" s="48"/>
      <c r="W58" s="48"/>
      <c r="X58" s="48" t="s">
        <v>307</v>
      </c>
      <c r="Y58" s="48"/>
      <c r="Z58" s="48"/>
      <c r="AA58" s="48"/>
      <c r="AB58" s="48"/>
      <c r="AC58" s="48" t="s">
        <v>314</v>
      </c>
      <c r="AD58" s="48"/>
      <c r="AE58" s="48"/>
      <c r="AF58" s="209"/>
      <c r="AG58" s="47" t="s">
        <v>315</v>
      </c>
      <c r="AH58" s="210" t="s">
        <v>319</v>
      </c>
      <c r="AI58" s="267" t="s">
        <v>457</v>
      </c>
      <c r="AJ58" s="170">
        <v>3500</v>
      </c>
      <c r="AK58" s="170">
        <v>3500</v>
      </c>
      <c r="AL58" s="170">
        <v>3500</v>
      </c>
      <c r="AM58" s="170">
        <v>3500</v>
      </c>
      <c r="AN58" s="170">
        <v>3500</v>
      </c>
      <c r="AO58" s="170">
        <v>3500</v>
      </c>
      <c r="AP58" s="170">
        <v>3500</v>
      </c>
      <c r="AQ58" s="170">
        <v>3500</v>
      </c>
      <c r="AR58" s="170">
        <v>3500</v>
      </c>
      <c r="AS58" s="170">
        <v>3500</v>
      </c>
      <c r="AT58" s="170"/>
      <c r="AU58" s="170"/>
      <c r="AV58" s="170">
        <v>7000</v>
      </c>
      <c r="AW58" s="170">
        <v>7000</v>
      </c>
      <c r="AX58" s="170">
        <v>7000</v>
      </c>
      <c r="AY58" s="170">
        <v>7000</v>
      </c>
      <c r="AZ58" s="170">
        <v>7000</v>
      </c>
      <c r="BA58" s="170">
        <v>7000</v>
      </c>
      <c r="BB58" s="170">
        <v>7000</v>
      </c>
      <c r="BC58" s="170">
        <v>7000</v>
      </c>
      <c r="BD58" s="170">
        <v>7000</v>
      </c>
      <c r="BE58" s="170"/>
      <c r="BF58" s="170"/>
      <c r="BG58" s="206"/>
      <c r="BH58" s="257" t="s">
        <v>312</v>
      </c>
      <c r="BI58" s="48" t="s">
        <v>323</v>
      </c>
      <c r="BJ58" s="211"/>
      <c r="BK58" s="212">
        <f>+(2875/5610*641939/5+2735/5610*756258/5)*AK58</f>
        <v>488370441.80035651</v>
      </c>
      <c r="BL58" s="217">
        <f>+(2875/5610*641939/5+2735/5610*756258/5)*AL58</f>
        <v>488370441.80035651</v>
      </c>
      <c r="BM58" s="217">
        <f t="shared" ref="BM58:BS58" si="113">+(2875/5610*641939/5+2735/5610*756258/5)*AM58</f>
        <v>488370441.80035651</v>
      </c>
      <c r="BN58" s="217">
        <f t="shared" si="113"/>
        <v>488370441.80035651</v>
      </c>
      <c r="BO58" s="217">
        <f t="shared" si="113"/>
        <v>488370441.80035651</v>
      </c>
      <c r="BP58" s="217">
        <f t="shared" si="113"/>
        <v>488370441.80035651</v>
      </c>
      <c r="BQ58" s="217">
        <f t="shared" si="113"/>
        <v>488370441.80035651</v>
      </c>
      <c r="BR58" s="217">
        <f t="shared" si="113"/>
        <v>488370441.80035651</v>
      </c>
      <c r="BS58" s="217">
        <f t="shared" si="113"/>
        <v>488370441.80035651</v>
      </c>
      <c r="BT58" s="213">
        <f t="shared" si="110"/>
        <v>4395333976.203208</v>
      </c>
      <c r="BU58" s="253">
        <v>0.95</v>
      </c>
      <c r="BV58" s="48"/>
      <c r="BW58" s="215">
        <v>0.05</v>
      </c>
      <c r="BX58" s="216"/>
      <c r="BY58" s="212">
        <f>+(2875/5610*641939/5+2735/5610*756258/5)*AV58</f>
        <v>976740883.60071301</v>
      </c>
      <c r="BZ58" s="217">
        <f>+(2875/5610*641939/5+2735/5610*756258/5)*AW58</f>
        <v>976740883.60071301</v>
      </c>
      <c r="CA58" s="217">
        <f t="shared" ref="CA58:CG58" si="114">+(2875/5610*641939/5+2735/5610*756258/5)*AX58</f>
        <v>976740883.60071301</v>
      </c>
      <c r="CB58" s="217">
        <f t="shared" si="114"/>
        <v>976740883.60071301</v>
      </c>
      <c r="CC58" s="217">
        <f t="shared" si="114"/>
        <v>976740883.60071301</v>
      </c>
      <c r="CD58" s="217">
        <f t="shared" si="114"/>
        <v>976740883.60071301</v>
      </c>
      <c r="CE58" s="217">
        <f t="shared" si="114"/>
        <v>976740883.60071301</v>
      </c>
      <c r="CF58" s="217">
        <f t="shared" si="114"/>
        <v>976740883.60071301</v>
      </c>
      <c r="CG58" s="213">
        <f t="shared" si="114"/>
        <v>976740883.60071301</v>
      </c>
      <c r="CH58" s="217">
        <f>+BY58-BK58</f>
        <v>488370441.80035651</v>
      </c>
      <c r="CI58" s="217">
        <f t="shared" ref="CI58:CP58" si="115">+BZ58-BL58</f>
        <v>488370441.80035651</v>
      </c>
      <c r="CJ58" s="217">
        <f t="shared" si="115"/>
        <v>488370441.80035651</v>
      </c>
      <c r="CK58" s="217">
        <f t="shared" si="115"/>
        <v>488370441.80035651</v>
      </c>
      <c r="CL58" s="217">
        <f t="shared" si="115"/>
        <v>488370441.80035651</v>
      </c>
      <c r="CM58" s="217">
        <f t="shared" si="115"/>
        <v>488370441.80035651</v>
      </c>
      <c r="CN58" s="217">
        <f t="shared" si="115"/>
        <v>488370441.80035651</v>
      </c>
      <c r="CO58" s="217">
        <f t="shared" si="115"/>
        <v>488370441.80035651</v>
      </c>
      <c r="CP58" s="217">
        <f t="shared" si="115"/>
        <v>488370441.80035651</v>
      </c>
      <c r="CQ58" s="218">
        <f t="shared" si="112"/>
        <v>4395333976.203208</v>
      </c>
      <c r="CR58" s="219"/>
      <c r="CS58" s="220"/>
      <c r="CT58" s="220"/>
      <c r="CU58" s="210"/>
      <c r="CV58" s="210"/>
      <c r="CW58" s="210"/>
      <c r="CX58" s="210"/>
      <c r="CY58" s="221">
        <f>+CQ58-CS58*550</f>
        <v>4395333976.203208</v>
      </c>
      <c r="CZ58" s="222"/>
      <c r="DA58" s="258"/>
    </row>
    <row r="59" spans="1:105" ht="26.1" customHeight="1" x14ac:dyDescent="0.25">
      <c r="A59" s="286" t="s">
        <v>248</v>
      </c>
      <c r="B59" s="287" t="s">
        <v>715</v>
      </c>
      <c r="C59" s="286" t="s">
        <v>248</v>
      </c>
      <c r="D59" s="287"/>
      <c r="E59" s="63" t="s">
        <v>490</v>
      </c>
      <c r="F59" s="288"/>
      <c r="G59" s="64"/>
      <c r="H59" s="65"/>
      <c r="I59" s="66"/>
      <c r="J59" s="66"/>
      <c r="K59" s="289"/>
      <c r="L59" s="290"/>
      <c r="M59" s="291"/>
      <c r="O59" s="286" t="s">
        <v>248</v>
      </c>
      <c r="P59" s="292"/>
      <c r="Q59" s="288"/>
      <c r="R59" s="288"/>
      <c r="S59" s="288"/>
      <c r="T59" s="288"/>
      <c r="U59" s="288"/>
      <c r="V59" s="288"/>
      <c r="W59" s="288"/>
      <c r="X59" s="288"/>
      <c r="Y59" s="288"/>
      <c r="Z59" s="288"/>
      <c r="AA59" s="288"/>
      <c r="AB59" s="288"/>
      <c r="AC59" s="288"/>
      <c r="AD59" s="288"/>
      <c r="AE59" s="288"/>
      <c r="AF59" s="293"/>
      <c r="AG59" s="292"/>
      <c r="AH59" s="288"/>
      <c r="AI59" s="288"/>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5"/>
      <c r="BG59" s="292"/>
      <c r="BH59" s="288"/>
      <c r="BI59" s="296"/>
      <c r="BJ59" s="297">
        <f t="shared" ref="BJ59:BS59" si="116">+BJ60+BJ63</f>
        <v>0</v>
      </c>
      <c r="BK59" s="298">
        <f t="shared" si="116"/>
        <v>432141666.66666663</v>
      </c>
      <c r="BL59" s="294">
        <f t="shared" si="116"/>
        <v>438941666.66666663</v>
      </c>
      <c r="BM59" s="294">
        <f t="shared" si="116"/>
        <v>435541666.66666663</v>
      </c>
      <c r="BN59" s="294">
        <f t="shared" si="116"/>
        <v>101875000</v>
      </c>
      <c r="BO59" s="294">
        <f t="shared" si="116"/>
        <v>98475000</v>
      </c>
      <c r="BP59" s="294">
        <f t="shared" si="116"/>
        <v>98475000</v>
      </c>
      <c r="BQ59" s="294">
        <f t="shared" si="116"/>
        <v>98475000</v>
      </c>
      <c r="BR59" s="294">
        <f t="shared" si="116"/>
        <v>98475000</v>
      </c>
      <c r="BS59" s="294">
        <f t="shared" si="116"/>
        <v>98475000</v>
      </c>
      <c r="BT59" s="299">
        <f t="shared" si="110"/>
        <v>1900875000</v>
      </c>
      <c r="BU59" s="300"/>
      <c r="BV59" s="288"/>
      <c r="BW59" s="288"/>
      <c r="BX59" s="301"/>
      <c r="BY59" s="298">
        <f t="shared" ref="BY59:CI59" si="117">+BY60+BY63</f>
        <v>435441666.66666663</v>
      </c>
      <c r="BZ59" s="294">
        <f t="shared" si="117"/>
        <v>452541666.66666663</v>
      </c>
      <c r="CA59" s="294">
        <f t="shared" si="117"/>
        <v>438941666.66666663</v>
      </c>
      <c r="CB59" s="294">
        <f t="shared" si="117"/>
        <v>471941666.66666603</v>
      </c>
      <c r="CC59" s="294">
        <f t="shared" si="117"/>
        <v>465141666.66666603</v>
      </c>
      <c r="CD59" s="294">
        <f t="shared" si="117"/>
        <v>465141666.66666603</v>
      </c>
      <c r="CE59" s="294">
        <f t="shared" si="117"/>
        <v>465141666.66666603</v>
      </c>
      <c r="CF59" s="294">
        <f t="shared" si="117"/>
        <v>465141666.66666603</v>
      </c>
      <c r="CG59" s="299">
        <f t="shared" si="117"/>
        <v>465141666.66666603</v>
      </c>
      <c r="CH59" s="298">
        <f t="shared" si="117"/>
        <v>3300000</v>
      </c>
      <c r="CI59" s="294">
        <f t="shared" si="117"/>
        <v>13600000</v>
      </c>
      <c r="CJ59" s="294">
        <f t="shared" ref="CJ59:CP59" si="118">+CJ60+CJ63</f>
        <v>3400000</v>
      </c>
      <c r="CK59" s="294">
        <f t="shared" si="118"/>
        <v>370066666.66666603</v>
      </c>
      <c r="CL59" s="294">
        <f t="shared" si="118"/>
        <v>366666666.66666603</v>
      </c>
      <c r="CM59" s="294">
        <f t="shared" si="118"/>
        <v>366666666.66666603</v>
      </c>
      <c r="CN59" s="294">
        <f t="shared" si="118"/>
        <v>366666666.66666603</v>
      </c>
      <c r="CO59" s="294">
        <f t="shared" si="118"/>
        <v>366666666.66666603</v>
      </c>
      <c r="CP59" s="294">
        <f t="shared" si="118"/>
        <v>366666666.66666603</v>
      </c>
      <c r="CQ59" s="299">
        <f t="shared" si="112"/>
        <v>2223699999.9999962</v>
      </c>
      <c r="CR59" s="300"/>
      <c r="CS59" s="302">
        <f>+CS60+CS63</f>
        <v>6000</v>
      </c>
      <c r="CT59" s="288"/>
      <c r="CU59" s="288"/>
      <c r="CV59" s="288"/>
      <c r="CW59" s="288"/>
      <c r="CX59" s="288"/>
      <c r="CY59" s="303">
        <f>+CY60+CY63</f>
        <v>2220399999.9999962</v>
      </c>
      <c r="CZ59" s="293"/>
      <c r="DA59" s="304"/>
    </row>
    <row r="60" spans="1:105" ht="26.1" customHeight="1" x14ac:dyDescent="0.25">
      <c r="A60" s="143" t="s">
        <v>54</v>
      </c>
      <c r="B60" s="144" t="s">
        <v>716</v>
      </c>
      <c r="C60" s="143" t="s">
        <v>54</v>
      </c>
      <c r="D60" s="144" t="s">
        <v>357</v>
      </c>
      <c r="E60" s="59" t="s">
        <v>490</v>
      </c>
      <c r="F60" s="145"/>
      <c r="G60" s="60"/>
      <c r="H60" s="61"/>
      <c r="I60" s="62"/>
      <c r="J60" s="62"/>
      <c r="K60" s="147" t="s">
        <v>254</v>
      </c>
      <c r="L60" s="148" t="s">
        <v>255</v>
      </c>
      <c r="M60" s="149" t="s">
        <v>256</v>
      </c>
      <c r="O60" s="143" t="s">
        <v>54</v>
      </c>
      <c r="P60" s="150"/>
      <c r="Q60" s="145"/>
      <c r="R60" s="145"/>
      <c r="S60" s="145"/>
      <c r="T60" s="145"/>
      <c r="U60" s="145"/>
      <c r="V60" s="145"/>
      <c r="W60" s="145"/>
      <c r="X60" s="145"/>
      <c r="Y60" s="145"/>
      <c r="Z60" s="145"/>
      <c r="AA60" s="145"/>
      <c r="AB60" s="145"/>
      <c r="AC60" s="145"/>
      <c r="AD60" s="145"/>
      <c r="AE60" s="145"/>
      <c r="AF60" s="151"/>
      <c r="AG60" s="150"/>
      <c r="AH60" s="145"/>
      <c r="AI60" s="145"/>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254"/>
      <c r="BG60" s="150"/>
      <c r="BH60" s="154" t="s">
        <v>357</v>
      </c>
      <c r="BI60" s="155"/>
      <c r="BJ60" s="156">
        <f t="shared" ref="BJ60:BS60" si="119">SUM(BJ61:BJ62)</f>
        <v>0</v>
      </c>
      <c r="BK60" s="157">
        <f t="shared" si="119"/>
        <v>432141666.66666663</v>
      </c>
      <c r="BL60" s="152">
        <f t="shared" si="119"/>
        <v>432141666.66666663</v>
      </c>
      <c r="BM60" s="152">
        <f t="shared" si="119"/>
        <v>432141666.66666663</v>
      </c>
      <c r="BN60" s="152">
        <f t="shared" si="119"/>
        <v>98475000</v>
      </c>
      <c r="BO60" s="152">
        <f t="shared" si="119"/>
        <v>98475000</v>
      </c>
      <c r="BP60" s="152">
        <f t="shared" si="119"/>
        <v>98475000</v>
      </c>
      <c r="BQ60" s="152">
        <f t="shared" si="119"/>
        <v>98475000</v>
      </c>
      <c r="BR60" s="152">
        <f t="shared" si="119"/>
        <v>98475000</v>
      </c>
      <c r="BS60" s="152">
        <f t="shared" si="119"/>
        <v>98475000</v>
      </c>
      <c r="BT60" s="156">
        <f t="shared" si="110"/>
        <v>1887275000</v>
      </c>
      <c r="BU60" s="158"/>
      <c r="BV60" s="145"/>
      <c r="BW60" s="145"/>
      <c r="BX60" s="159"/>
      <c r="BY60" s="157">
        <f t="shared" ref="BY60:CP60" si="120">SUM(BY61:BY62)</f>
        <v>435441666.66666663</v>
      </c>
      <c r="BZ60" s="152">
        <f t="shared" si="120"/>
        <v>432141666.66666663</v>
      </c>
      <c r="CA60" s="152">
        <f t="shared" si="120"/>
        <v>432141666.66666663</v>
      </c>
      <c r="CB60" s="152">
        <f t="shared" si="120"/>
        <v>465141666.66666603</v>
      </c>
      <c r="CC60" s="152">
        <f t="shared" si="120"/>
        <v>465141666.66666603</v>
      </c>
      <c r="CD60" s="152">
        <f t="shared" si="120"/>
        <v>465141666.66666603</v>
      </c>
      <c r="CE60" s="152">
        <f t="shared" si="120"/>
        <v>465141666.66666603</v>
      </c>
      <c r="CF60" s="152">
        <f t="shared" si="120"/>
        <v>465141666.66666603</v>
      </c>
      <c r="CG60" s="156">
        <f t="shared" si="120"/>
        <v>465141666.66666603</v>
      </c>
      <c r="CH60" s="157">
        <f t="shared" si="120"/>
        <v>3300000</v>
      </c>
      <c r="CI60" s="152">
        <f t="shared" si="120"/>
        <v>0</v>
      </c>
      <c r="CJ60" s="152">
        <f t="shared" si="120"/>
        <v>0</v>
      </c>
      <c r="CK60" s="152">
        <f t="shared" si="120"/>
        <v>366666666.66666603</v>
      </c>
      <c r="CL60" s="152">
        <f t="shared" si="120"/>
        <v>366666666.66666603</v>
      </c>
      <c r="CM60" s="152">
        <f t="shared" si="120"/>
        <v>366666666.66666603</v>
      </c>
      <c r="CN60" s="152">
        <f t="shared" si="120"/>
        <v>366666666.66666603</v>
      </c>
      <c r="CO60" s="152">
        <f t="shared" si="120"/>
        <v>366666666.66666603</v>
      </c>
      <c r="CP60" s="152">
        <f t="shared" si="120"/>
        <v>366666666.66666603</v>
      </c>
      <c r="CQ60" s="156">
        <f t="shared" si="112"/>
        <v>2203299999.9999962</v>
      </c>
      <c r="CR60" s="158"/>
      <c r="CS60" s="160">
        <f>SUM(CS61:CS62)</f>
        <v>6000</v>
      </c>
      <c r="CT60" s="145"/>
      <c r="CU60" s="145"/>
      <c r="CV60" s="145"/>
      <c r="CW60" s="145"/>
      <c r="CX60" s="145"/>
      <c r="CY60" s="161">
        <f>SUM(CY61:CY62)</f>
        <v>2199999999.9999962</v>
      </c>
      <c r="CZ60" s="151"/>
      <c r="DA60" s="162"/>
    </row>
    <row r="61" spans="1:105" ht="26.1" customHeight="1" x14ac:dyDescent="0.25">
      <c r="A61" s="204" t="s">
        <v>55</v>
      </c>
      <c r="B61" s="205" t="s">
        <v>717</v>
      </c>
      <c r="C61" s="204" t="s">
        <v>455</v>
      </c>
      <c r="D61" s="205" t="s">
        <v>357</v>
      </c>
      <c r="E61" s="47" t="s">
        <v>4</v>
      </c>
      <c r="F61" s="255" t="s">
        <v>405</v>
      </c>
      <c r="G61" s="48" t="s">
        <v>397</v>
      </c>
      <c r="H61" s="48" t="s">
        <v>116</v>
      </c>
      <c r="I61" s="49" t="s">
        <v>246</v>
      </c>
      <c r="J61" s="49" t="s">
        <v>230</v>
      </c>
      <c r="K61" s="206"/>
      <c r="L61" s="207"/>
      <c r="M61" s="208"/>
      <c r="O61" s="204" t="s">
        <v>455</v>
      </c>
      <c r="P61" s="47" t="s">
        <v>4</v>
      </c>
      <c r="Q61" s="48" t="s">
        <v>453</v>
      </c>
      <c r="R61" s="48" t="s">
        <v>314</v>
      </c>
      <c r="S61" s="48"/>
      <c r="T61" s="48" t="s">
        <v>314</v>
      </c>
      <c r="U61" s="48" t="s">
        <v>314</v>
      </c>
      <c r="V61" s="48"/>
      <c r="W61" s="48"/>
      <c r="X61" s="48" t="s">
        <v>307</v>
      </c>
      <c r="Y61" s="48"/>
      <c r="Z61" s="48"/>
      <c r="AA61" s="48"/>
      <c r="AB61" s="48"/>
      <c r="AC61" s="48" t="s">
        <v>314</v>
      </c>
      <c r="AD61" s="48"/>
      <c r="AE61" s="48"/>
      <c r="AF61" s="209"/>
      <c r="AG61" s="47" t="s">
        <v>315</v>
      </c>
      <c r="AH61" s="210" t="s">
        <v>319</v>
      </c>
      <c r="AI61" s="68" t="s">
        <v>471</v>
      </c>
      <c r="AJ61" s="170">
        <v>700</v>
      </c>
      <c r="AK61" s="170">
        <v>700</v>
      </c>
      <c r="AL61" s="170">
        <v>700</v>
      </c>
      <c r="AM61" s="170">
        <v>700</v>
      </c>
      <c r="AN61" s="170">
        <v>200</v>
      </c>
      <c r="AO61" s="170">
        <v>200</v>
      </c>
      <c r="AP61" s="170">
        <v>200</v>
      </c>
      <c r="AQ61" s="170">
        <v>200</v>
      </c>
      <c r="AR61" s="170">
        <v>200</v>
      </c>
      <c r="AS61" s="170">
        <v>200</v>
      </c>
      <c r="AT61" s="170"/>
      <c r="AU61" s="170"/>
      <c r="AV61" s="170">
        <v>700</v>
      </c>
      <c r="AW61" s="170">
        <v>700</v>
      </c>
      <c r="AX61" s="170">
        <v>700</v>
      </c>
      <c r="AY61" s="170">
        <v>700</v>
      </c>
      <c r="AZ61" s="170">
        <v>700</v>
      </c>
      <c r="BA61" s="170">
        <v>700</v>
      </c>
      <c r="BB61" s="170">
        <v>700</v>
      </c>
      <c r="BC61" s="170">
        <v>700</v>
      </c>
      <c r="BD61" s="170">
        <v>700</v>
      </c>
      <c r="BE61" s="170"/>
      <c r="BF61" s="170"/>
      <c r="BG61" s="206" t="s">
        <v>311</v>
      </c>
      <c r="BH61" s="68" t="s">
        <v>321</v>
      </c>
      <c r="BI61" s="48" t="s">
        <v>313</v>
      </c>
      <c r="BJ61" s="211"/>
      <c r="BK61" s="212">
        <f>98475000+2600000*550*0.7/3</f>
        <v>432141666.66666663</v>
      </c>
      <c r="BL61" s="170">
        <f>98475000+2600000*550*0.7/3</f>
        <v>432141666.66666663</v>
      </c>
      <c r="BM61" s="170">
        <f>98475000+2600000*550*0.7/3</f>
        <v>432141666.66666663</v>
      </c>
      <c r="BN61" s="170">
        <v>98475000</v>
      </c>
      <c r="BO61" s="170">
        <v>98475000</v>
      </c>
      <c r="BP61" s="170">
        <v>98475000</v>
      </c>
      <c r="BQ61" s="170">
        <v>98475000</v>
      </c>
      <c r="BR61" s="170">
        <v>98475000</v>
      </c>
      <c r="BS61" s="170">
        <v>98475000</v>
      </c>
      <c r="BT61" s="213">
        <f t="shared" si="110"/>
        <v>1887275000</v>
      </c>
      <c r="BU61" s="330">
        <f>98475000*9/(98475000*9+2600000*550)</f>
        <v>0.38262943735091903</v>
      </c>
      <c r="BV61" s="48"/>
      <c r="BW61" s="330">
        <f>2600000*550/(98475000*9+2600000*550)</f>
        <v>0.61737056264908097</v>
      </c>
      <c r="BX61" s="216" t="s">
        <v>454</v>
      </c>
      <c r="BY61" s="212">
        <f>98475000+2600000*550*0.7/3</f>
        <v>432141666.66666663</v>
      </c>
      <c r="BZ61" s="170">
        <f>98475000+2600000*550*0.7/3</f>
        <v>432141666.66666663</v>
      </c>
      <c r="CA61" s="170">
        <f>98475000+2600000*550*0.7/3</f>
        <v>432141666.66666663</v>
      </c>
      <c r="CB61" s="170">
        <f t="shared" ref="CB61:CG61" si="121">98475000+2000000*183.333333333333</f>
        <v>465141666.66666603</v>
      </c>
      <c r="CC61" s="170">
        <f t="shared" si="121"/>
        <v>465141666.66666603</v>
      </c>
      <c r="CD61" s="170">
        <f t="shared" si="121"/>
        <v>465141666.66666603</v>
      </c>
      <c r="CE61" s="170">
        <f t="shared" si="121"/>
        <v>465141666.66666603</v>
      </c>
      <c r="CF61" s="170">
        <f t="shared" si="121"/>
        <v>465141666.66666603</v>
      </c>
      <c r="CG61" s="213">
        <f t="shared" si="121"/>
        <v>465141666.66666603</v>
      </c>
      <c r="CH61" s="217">
        <f>+BY61-BK61</f>
        <v>0</v>
      </c>
      <c r="CI61" s="217">
        <f t="shared" ref="CI61:CP62" si="122">+BZ61-BL61</f>
        <v>0</v>
      </c>
      <c r="CJ61" s="217">
        <f t="shared" si="122"/>
        <v>0</v>
      </c>
      <c r="CK61" s="217">
        <f t="shared" si="122"/>
        <v>366666666.66666603</v>
      </c>
      <c r="CL61" s="217">
        <f t="shared" si="122"/>
        <v>366666666.66666603</v>
      </c>
      <c r="CM61" s="217">
        <f t="shared" si="122"/>
        <v>366666666.66666603</v>
      </c>
      <c r="CN61" s="217">
        <f t="shared" si="122"/>
        <v>366666666.66666603</v>
      </c>
      <c r="CO61" s="217">
        <f t="shared" si="122"/>
        <v>366666666.66666603</v>
      </c>
      <c r="CP61" s="217">
        <f t="shared" si="122"/>
        <v>366666666.66666603</v>
      </c>
      <c r="CQ61" s="218">
        <f t="shared" si="112"/>
        <v>2199999999.9999962</v>
      </c>
      <c r="CR61" s="219"/>
      <c r="CS61" s="220"/>
      <c r="CT61" s="220"/>
      <c r="CU61" s="210"/>
      <c r="CV61" s="210"/>
      <c r="CW61" s="210"/>
      <c r="CX61" s="210"/>
      <c r="CY61" s="221">
        <f>+CQ61-CS61*550</f>
        <v>2199999999.9999962</v>
      </c>
      <c r="CZ61" s="222"/>
      <c r="DA61" s="258"/>
    </row>
    <row r="62" spans="1:105" ht="26.1" customHeight="1" x14ac:dyDescent="0.25">
      <c r="A62" s="312" t="s">
        <v>57</v>
      </c>
      <c r="B62" s="205" t="s">
        <v>718</v>
      </c>
      <c r="C62" s="204" t="s">
        <v>57</v>
      </c>
      <c r="D62" s="205" t="s">
        <v>357</v>
      </c>
      <c r="E62" s="423" t="s">
        <v>2</v>
      </c>
      <c r="F62" s="424" t="s">
        <v>403</v>
      </c>
      <c r="G62" s="424" t="s">
        <v>393</v>
      </c>
      <c r="H62" s="48" t="s">
        <v>118</v>
      </c>
      <c r="I62" s="49" t="s">
        <v>246</v>
      </c>
      <c r="J62" s="49" t="s">
        <v>230</v>
      </c>
      <c r="K62" s="206"/>
      <c r="L62" s="207"/>
      <c r="M62" s="208"/>
      <c r="O62" s="422" t="s">
        <v>57</v>
      </c>
      <c r="P62" s="423" t="s">
        <v>3</v>
      </c>
      <c r="Q62" s="424" t="s">
        <v>400</v>
      </c>
      <c r="R62" s="424"/>
      <c r="S62" s="424" t="s">
        <v>307</v>
      </c>
      <c r="T62" s="424"/>
      <c r="U62" s="424"/>
      <c r="V62" s="424" t="s">
        <v>314</v>
      </c>
      <c r="W62" s="424"/>
      <c r="X62" s="424" t="s">
        <v>314</v>
      </c>
      <c r="Y62" s="424"/>
      <c r="Z62" s="424"/>
      <c r="AA62" s="424"/>
      <c r="AB62" s="424"/>
      <c r="AC62" s="424" t="s">
        <v>314</v>
      </c>
      <c r="AD62" s="424"/>
      <c r="AE62" s="424"/>
      <c r="AF62" s="425"/>
      <c r="AG62" s="423" t="s">
        <v>315</v>
      </c>
      <c r="AH62" s="426" t="s">
        <v>316</v>
      </c>
      <c r="AI62" s="427" t="s">
        <v>481</v>
      </c>
      <c r="AJ62" s="317"/>
      <c r="AK62" s="317">
        <v>0</v>
      </c>
      <c r="AL62" s="317">
        <v>0</v>
      </c>
      <c r="AM62" s="317">
        <v>0</v>
      </c>
      <c r="AN62" s="317">
        <v>0</v>
      </c>
      <c r="AO62" s="317">
        <v>0</v>
      </c>
      <c r="AP62" s="317">
        <v>0</v>
      </c>
      <c r="AQ62" s="317">
        <v>0</v>
      </c>
      <c r="AR62" s="317">
        <v>0</v>
      </c>
      <c r="AS62" s="317">
        <v>0</v>
      </c>
      <c r="AT62" s="317"/>
      <c r="AU62" s="317"/>
      <c r="AV62" s="317">
        <v>1</v>
      </c>
      <c r="AW62" s="317">
        <v>0</v>
      </c>
      <c r="AX62" s="317">
        <v>0</v>
      </c>
      <c r="AY62" s="317">
        <v>0</v>
      </c>
      <c r="AZ62" s="317">
        <v>0</v>
      </c>
      <c r="BA62" s="317">
        <v>0</v>
      </c>
      <c r="BB62" s="317">
        <v>0</v>
      </c>
      <c r="BC62" s="317">
        <v>0</v>
      </c>
      <c r="BD62" s="317">
        <v>0</v>
      </c>
      <c r="BE62" s="317"/>
      <c r="BF62" s="318"/>
      <c r="BG62" s="319" t="s">
        <v>318</v>
      </c>
      <c r="BH62" s="68" t="s">
        <v>349</v>
      </c>
      <c r="BI62" s="77" t="s">
        <v>313</v>
      </c>
      <c r="BJ62" s="320"/>
      <c r="BK62" s="321">
        <v>0</v>
      </c>
      <c r="BL62" s="317">
        <v>0</v>
      </c>
      <c r="BM62" s="317">
        <v>0</v>
      </c>
      <c r="BN62" s="317">
        <v>0</v>
      </c>
      <c r="BO62" s="317">
        <v>0</v>
      </c>
      <c r="BP62" s="317">
        <v>0</v>
      </c>
      <c r="BQ62" s="317">
        <v>0</v>
      </c>
      <c r="BR62" s="317">
        <v>0</v>
      </c>
      <c r="BS62" s="317">
        <v>0</v>
      </c>
      <c r="BT62" s="324">
        <f t="shared" si="110"/>
        <v>0</v>
      </c>
      <c r="BU62" s="322"/>
      <c r="BV62" s="77"/>
      <c r="BW62" s="77"/>
      <c r="BX62" s="323"/>
      <c r="BY62" s="321">
        <f>6000*550</f>
        <v>3300000</v>
      </c>
      <c r="BZ62" s="317">
        <v>0</v>
      </c>
      <c r="CA62" s="317">
        <v>0</v>
      </c>
      <c r="CB62" s="317">
        <v>0</v>
      </c>
      <c r="CC62" s="317">
        <v>0</v>
      </c>
      <c r="CD62" s="317">
        <v>0</v>
      </c>
      <c r="CE62" s="317">
        <v>0</v>
      </c>
      <c r="CF62" s="317">
        <v>0</v>
      </c>
      <c r="CG62" s="324">
        <v>0</v>
      </c>
      <c r="CH62" s="217">
        <f>+BY62-BK62</f>
        <v>3300000</v>
      </c>
      <c r="CI62" s="170">
        <f>+BZ62-BL62</f>
        <v>0</v>
      </c>
      <c r="CJ62" s="170">
        <f t="shared" si="122"/>
        <v>0</v>
      </c>
      <c r="CK62" s="170">
        <f t="shared" si="122"/>
        <v>0</v>
      </c>
      <c r="CL62" s="170">
        <f t="shared" si="122"/>
        <v>0</v>
      </c>
      <c r="CM62" s="170">
        <f t="shared" si="122"/>
        <v>0</v>
      </c>
      <c r="CN62" s="170">
        <f t="shared" si="122"/>
        <v>0</v>
      </c>
      <c r="CO62" s="170">
        <f t="shared" si="122"/>
        <v>0</v>
      </c>
      <c r="CP62" s="170">
        <f t="shared" si="122"/>
        <v>0</v>
      </c>
      <c r="CQ62" s="218">
        <f t="shared" si="112"/>
        <v>3300000</v>
      </c>
      <c r="CR62" s="325"/>
      <c r="CS62" s="326">
        <v>6000</v>
      </c>
      <c r="CT62" s="326"/>
      <c r="CU62" s="315"/>
      <c r="CV62" s="315"/>
      <c r="CW62" s="315"/>
      <c r="CX62" s="315"/>
      <c r="CY62" s="221">
        <f>+CQ62-CS62*550</f>
        <v>0</v>
      </c>
      <c r="CZ62" s="327"/>
      <c r="DA62" s="328"/>
    </row>
    <row r="63" spans="1:105" ht="26.1" customHeight="1" x14ac:dyDescent="0.25">
      <c r="A63" s="143" t="s">
        <v>249</v>
      </c>
      <c r="B63" s="144" t="s">
        <v>719</v>
      </c>
      <c r="C63" s="143" t="s">
        <v>249</v>
      </c>
      <c r="D63" s="144" t="s">
        <v>355</v>
      </c>
      <c r="E63" s="59" t="s">
        <v>4</v>
      </c>
      <c r="F63" s="145"/>
      <c r="G63" s="60"/>
      <c r="H63" s="61"/>
      <c r="I63" s="62"/>
      <c r="J63" s="62"/>
      <c r="K63" s="147" t="s">
        <v>257</v>
      </c>
      <c r="L63" s="148"/>
      <c r="M63" s="149"/>
      <c r="O63" s="143" t="s">
        <v>249</v>
      </c>
      <c r="P63" s="150"/>
      <c r="Q63" s="145"/>
      <c r="R63" s="145"/>
      <c r="S63" s="145"/>
      <c r="T63" s="145"/>
      <c r="U63" s="145"/>
      <c r="V63" s="145"/>
      <c r="W63" s="145"/>
      <c r="X63" s="145"/>
      <c r="Y63" s="145"/>
      <c r="Z63" s="145"/>
      <c r="AA63" s="145"/>
      <c r="AB63" s="145"/>
      <c r="AC63" s="145"/>
      <c r="AD63" s="145"/>
      <c r="AE63" s="145"/>
      <c r="AF63" s="151"/>
      <c r="AG63" s="150"/>
      <c r="AH63" s="145"/>
      <c r="AI63" s="145"/>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254"/>
      <c r="BG63" s="150"/>
      <c r="BH63" s="154" t="s">
        <v>355</v>
      </c>
      <c r="BI63" s="155"/>
      <c r="BJ63" s="156">
        <f t="shared" ref="BJ63:BS63" si="123">SUM(BJ64)</f>
        <v>0</v>
      </c>
      <c r="BK63" s="157">
        <f t="shared" si="123"/>
        <v>0</v>
      </c>
      <c r="BL63" s="152">
        <f t="shared" si="123"/>
        <v>6800000</v>
      </c>
      <c r="BM63" s="152">
        <f t="shared" si="123"/>
        <v>3400000</v>
      </c>
      <c r="BN63" s="152">
        <f t="shared" si="123"/>
        <v>3400000</v>
      </c>
      <c r="BO63" s="152">
        <f t="shared" si="123"/>
        <v>0</v>
      </c>
      <c r="BP63" s="152">
        <f t="shared" si="123"/>
        <v>0</v>
      </c>
      <c r="BQ63" s="152">
        <f t="shared" si="123"/>
        <v>0</v>
      </c>
      <c r="BR63" s="152">
        <f t="shared" si="123"/>
        <v>0</v>
      </c>
      <c r="BS63" s="152">
        <f t="shared" si="123"/>
        <v>0</v>
      </c>
      <c r="BT63" s="156">
        <f t="shared" ref="BT63:BT69" si="124">SUM(BK63:BS63)</f>
        <v>13600000</v>
      </c>
      <c r="BU63" s="158"/>
      <c r="BV63" s="145"/>
      <c r="BW63" s="145"/>
      <c r="BX63" s="159"/>
      <c r="BY63" s="157">
        <f t="shared" ref="BY63:CP63" si="125">SUM(BY64)</f>
        <v>0</v>
      </c>
      <c r="BZ63" s="152">
        <f t="shared" si="125"/>
        <v>20400000</v>
      </c>
      <c r="CA63" s="152">
        <f t="shared" si="125"/>
        <v>6800000</v>
      </c>
      <c r="CB63" s="152">
        <f t="shared" si="125"/>
        <v>6800000</v>
      </c>
      <c r="CC63" s="152">
        <f t="shared" si="125"/>
        <v>0</v>
      </c>
      <c r="CD63" s="152">
        <f t="shared" si="125"/>
        <v>0</v>
      </c>
      <c r="CE63" s="152">
        <f t="shared" si="125"/>
        <v>0</v>
      </c>
      <c r="CF63" s="152">
        <f t="shared" si="125"/>
        <v>0</v>
      </c>
      <c r="CG63" s="156">
        <f t="shared" si="125"/>
        <v>0</v>
      </c>
      <c r="CH63" s="157">
        <f t="shared" si="125"/>
        <v>0</v>
      </c>
      <c r="CI63" s="152">
        <f t="shared" si="125"/>
        <v>13600000</v>
      </c>
      <c r="CJ63" s="152">
        <f t="shared" si="125"/>
        <v>3400000</v>
      </c>
      <c r="CK63" s="152">
        <f t="shared" si="125"/>
        <v>3400000</v>
      </c>
      <c r="CL63" s="152">
        <f t="shared" si="125"/>
        <v>0</v>
      </c>
      <c r="CM63" s="152">
        <f t="shared" si="125"/>
        <v>0</v>
      </c>
      <c r="CN63" s="152">
        <f t="shared" si="125"/>
        <v>0</v>
      </c>
      <c r="CO63" s="152">
        <f t="shared" si="125"/>
        <v>0</v>
      </c>
      <c r="CP63" s="152">
        <f t="shared" si="125"/>
        <v>0</v>
      </c>
      <c r="CQ63" s="156">
        <f t="shared" si="112"/>
        <v>20400000</v>
      </c>
      <c r="CR63" s="158"/>
      <c r="CS63" s="160">
        <f>SUM(CS64)</f>
        <v>0</v>
      </c>
      <c r="CT63" s="145"/>
      <c r="CU63" s="145"/>
      <c r="CV63" s="145"/>
      <c r="CW63" s="145"/>
      <c r="CX63" s="145"/>
      <c r="CY63" s="161">
        <f>SUM(CY64)</f>
        <v>20400000</v>
      </c>
      <c r="CZ63" s="151"/>
      <c r="DA63" s="162"/>
    </row>
    <row r="64" spans="1:105" ht="26.1" customHeight="1" x14ac:dyDescent="0.25">
      <c r="A64" s="204" t="s">
        <v>56</v>
      </c>
      <c r="B64" s="205" t="s">
        <v>720</v>
      </c>
      <c r="C64" s="204" t="s">
        <v>56</v>
      </c>
      <c r="D64" s="205" t="s">
        <v>355</v>
      </c>
      <c r="E64" s="47" t="s">
        <v>4</v>
      </c>
      <c r="F64" s="48" t="s">
        <v>404</v>
      </c>
      <c r="G64" s="48" t="s">
        <v>394</v>
      </c>
      <c r="H64" s="48" t="s">
        <v>117</v>
      </c>
      <c r="I64" s="49"/>
      <c r="J64" s="49" t="s">
        <v>230</v>
      </c>
      <c r="K64" s="206"/>
      <c r="L64" s="207"/>
      <c r="M64" s="208"/>
      <c r="O64" s="204" t="s">
        <v>56</v>
      </c>
      <c r="P64" s="47" t="s">
        <v>4</v>
      </c>
      <c r="Q64" s="48" t="s">
        <v>404</v>
      </c>
      <c r="R64" s="48" t="s">
        <v>314</v>
      </c>
      <c r="S64" s="48" t="s">
        <v>314</v>
      </c>
      <c r="T64" s="48" t="s">
        <v>314</v>
      </c>
      <c r="U64" s="48"/>
      <c r="V64" s="48" t="s">
        <v>314</v>
      </c>
      <c r="W64" s="48"/>
      <c r="X64" s="48" t="s">
        <v>307</v>
      </c>
      <c r="Y64" s="48"/>
      <c r="Z64" s="48"/>
      <c r="AA64" s="48"/>
      <c r="AB64" s="48"/>
      <c r="AC64" s="48" t="s">
        <v>314</v>
      </c>
      <c r="AD64" s="48"/>
      <c r="AE64" s="48"/>
      <c r="AF64" s="209"/>
      <c r="AG64" s="47" t="s">
        <v>315</v>
      </c>
      <c r="AH64" s="210" t="s">
        <v>316</v>
      </c>
      <c r="AI64" s="267" t="s">
        <v>317</v>
      </c>
      <c r="AJ64" s="251">
        <v>0</v>
      </c>
      <c r="AK64" s="251">
        <v>0</v>
      </c>
      <c r="AL64" s="251">
        <v>1</v>
      </c>
      <c r="AM64" s="251">
        <v>0.5</v>
      </c>
      <c r="AN64" s="251">
        <v>0.5</v>
      </c>
      <c r="AO64" s="251">
        <v>0</v>
      </c>
      <c r="AP64" s="251">
        <v>0</v>
      </c>
      <c r="AQ64" s="251">
        <v>0</v>
      </c>
      <c r="AR64" s="251">
        <v>0</v>
      </c>
      <c r="AS64" s="251">
        <v>0</v>
      </c>
      <c r="AT64" s="251"/>
      <c r="AU64" s="251"/>
      <c r="AV64" s="251">
        <v>0</v>
      </c>
      <c r="AW64" s="251">
        <v>3</v>
      </c>
      <c r="AX64" s="251">
        <v>1</v>
      </c>
      <c r="AY64" s="251">
        <v>1</v>
      </c>
      <c r="AZ64" s="251">
        <v>0</v>
      </c>
      <c r="BA64" s="251">
        <v>0</v>
      </c>
      <c r="BB64" s="251">
        <v>0</v>
      </c>
      <c r="BC64" s="251">
        <v>0</v>
      </c>
      <c r="BD64" s="251">
        <v>0</v>
      </c>
      <c r="BE64" s="251"/>
      <c r="BF64" s="331"/>
      <c r="BG64" s="206" t="s">
        <v>318</v>
      </c>
      <c r="BH64" s="257" t="s">
        <v>312</v>
      </c>
      <c r="BI64" s="48" t="s">
        <v>313</v>
      </c>
      <c r="BJ64" s="269">
        <v>0</v>
      </c>
      <c r="BK64" s="212">
        <f>6800000*AK64</f>
        <v>0</v>
      </c>
      <c r="BL64" s="170">
        <f t="shared" ref="BL64:BS64" si="126">6800000*AL64</f>
        <v>6800000</v>
      </c>
      <c r="BM64" s="170">
        <f t="shared" si="126"/>
        <v>3400000</v>
      </c>
      <c r="BN64" s="170">
        <f t="shared" si="126"/>
        <v>3400000</v>
      </c>
      <c r="BO64" s="170">
        <f t="shared" si="126"/>
        <v>0</v>
      </c>
      <c r="BP64" s="170">
        <f t="shared" si="126"/>
        <v>0</v>
      </c>
      <c r="BQ64" s="170">
        <f t="shared" si="126"/>
        <v>0</v>
      </c>
      <c r="BR64" s="170">
        <f t="shared" si="126"/>
        <v>0</v>
      </c>
      <c r="BS64" s="170">
        <f t="shared" si="126"/>
        <v>0</v>
      </c>
      <c r="BT64" s="213">
        <f t="shared" si="124"/>
        <v>13600000</v>
      </c>
      <c r="BU64" s="242">
        <v>1</v>
      </c>
      <c r="BV64" s="48"/>
      <c r="BW64" s="48"/>
      <c r="BX64" s="243"/>
      <c r="BY64" s="212">
        <f>6800000*AV64</f>
        <v>0</v>
      </c>
      <c r="BZ64" s="170">
        <f t="shared" ref="BZ64:CG64" si="127">6800000*AW64</f>
        <v>20400000</v>
      </c>
      <c r="CA64" s="170">
        <f t="shared" si="127"/>
        <v>6800000</v>
      </c>
      <c r="CB64" s="170">
        <f t="shared" si="127"/>
        <v>6800000</v>
      </c>
      <c r="CC64" s="170">
        <f t="shared" si="127"/>
        <v>0</v>
      </c>
      <c r="CD64" s="170">
        <f t="shared" si="127"/>
        <v>0</v>
      </c>
      <c r="CE64" s="170">
        <f t="shared" si="127"/>
        <v>0</v>
      </c>
      <c r="CF64" s="170">
        <f t="shared" si="127"/>
        <v>0</v>
      </c>
      <c r="CG64" s="213">
        <f t="shared" si="127"/>
        <v>0</v>
      </c>
      <c r="CH64" s="212">
        <f>+BY64-BK64</f>
        <v>0</v>
      </c>
      <c r="CI64" s="170">
        <f t="shared" ref="CI64:CP64" si="128">+BZ64-BL64</f>
        <v>13600000</v>
      </c>
      <c r="CJ64" s="170">
        <f t="shared" si="128"/>
        <v>3400000</v>
      </c>
      <c r="CK64" s="170">
        <f t="shared" si="128"/>
        <v>3400000</v>
      </c>
      <c r="CL64" s="170">
        <f t="shared" si="128"/>
        <v>0</v>
      </c>
      <c r="CM64" s="170">
        <f t="shared" si="128"/>
        <v>0</v>
      </c>
      <c r="CN64" s="170">
        <f t="shared" si="128"/>
        <v>0</v>
      </c>
      <c r="CO64" s="170">
        <f t="shared" si="128"/>
        <v>0</v>
      </c>
      <c r="CP64" s="170">
        <f t="shared" si="128"/>
        <v>0</v>
      </c>
      <c r="CQ64" s="213">
        <f t="shared" si="112"/>
        <v>20400000</v>
      </c>
      <c r="CR64" s="219"/>
      <c r="CS64" s="220"/>
      <c r="CT64" s="220"/>
      <c r="CU64" s="210"/>
      <c r="CV64" s="210"/>
      <c r="CW64" s="210"/>
      <c r="CX64" s="210"/>
      <c r="CY64" s="221">
        <f>+CQ64-CS64*550</f>
        <v>20400000</v>
      </c>
      <c r="CZ64" s="222"/>
      <c r="DA64" s="246"/>
    </row>
    <row r="65" spans="1:109" ht="26.1" customHeight="1" x14ac:dyDescent="0.25">
      <c r="A65" s="123" t="s">
        <v>60</v>
      </c>
      <c r="B65" s="124" t="s">
        <v>721</v>
      </c>
      <c r="C65" s="123" t="s">
        <v>60</v>
      </c>
      <c r="D65" s="124"/>
      <c r="E65" s="55"/>
      <c r="F65" s="126"/>
      <c r="G65" s="56"/>
      <c r="H65" s="58"/>
      <c r="I65" s="57"/>
      <c r="J65" s="57"/>
      <c r="K65" s="128"/>
      <c r="L65" s="129"/>
      <c r="M65" s="130"/>
      <c r="O65" s="123" t="s">
        <v>60</v>
      </c>
      <c r="P65" s="131"/>
      <c r="Q65" s="126"/>
      <c r="R65" s="126"/>
      <c r="S65" s="126"/>
      <c r="T65" s="126"/>
      <c r="U65" s="126"/>
      <c r="V65" s="126"/>
      <c r="W65" s="126"/>
      <c r="X65" s="126"/>
      <c r="Y65" s="126"/>
      <c r="Z65" s="126"/>
      <c r="AA65" s="126"/>
      <c r="AB65" s="126"/>
      <c r="AC65" s="126"/>
      <c r="AD65" s="126"/>
      <c r="AE65" s="126"/>
      <c r="AF65" s="132"/>
      <c r="AG65" s="131"/>
      <c r="AH65" s="126"/>
      <c r="AI65" s="126"/>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263"/>
      <c r="BG65" s="131"/>
      <c r="BH65" s="126"/>
      <c r="BI65" s="134"/>
      <c r="BJ65" s="135">
        <f t="shared" ref="BJ65:BS65" si="129">+BJ66+BJ70+BJ74+BJ76+BJ78+BJ82+BJ85+BJ87+BJ91+BJ95+BJ97</f>
        <v>65700000</v>
      </c>
      <c r="BK65" s="136">
        <f t="shared" si="129"/>
        <v>174410000</v>
      </c>
      <c r="BL65" s="133">
        <f t="shared" si="129"/>
        <v>176694800</v>
      </c>
      <c r="BM65" s="133">
        <f t="shared" si="129"/>
        <v>146060810.66666669</v>
      </c>
      <c r="BN65" s="133">
        <f t="shared" si="129"/>
        <v>117241801.65333331</v>
      </c>
      <c r="BO65" s="133">
        <f t="shared" si="129"/>
        <v>87538222.369599998</v>
      </c>
      <c r="BP65" s="133">
        <f t="shared" si="129"/>
        <v>88983869.040688008</v>
      </c>
      <c r="BQ65" s="133">
        <f t="shared" si="129"/>
        <v>88645885.111908644</v>
      </c>
      <c r="BR65" s="133">
        <f t="shared" si="129"/>
        <v>90124761.665265903</v>
      </c>
      <c r="BS65" s="133">
        <f t="shared" si="129"/>
        <v>89821004.515223876</v>
      </c>
      <c r="BT65" s="137">
        <f t="shared" si="124"/>
        <v>1059521155.0226865</v>
      </c>
      <c r="BU65" s="138"/>
      <c r="BV65" s="126"/>
      <c r="BW65" s="126"/>
      <c r="BX65" s="139"/>
      <c r="BY65" s="136">
        <f t="shared" ref="BY65:CP65" si="130">+BY66+BY70+BY74+BY76+BY78+BY82+BY85+BY87+BY91+BY95+BY97</f>
        <v>711420000</v>
      </c>
      <c r="BZ65" s="133">
        <f t="shared" si="130"/>
        <v>816335400</v>
      </c>
      <c r="CA65" s="133">
        <f t="shared" si="130"/>
        <v>468270392.66666669</v>
      </c>
      <c r="CB65" s="133">
        <f t="shared" si="130"/>
        <v>324886250.39333332</v>
      </c>
      <c r="CC65" s="133">
        <f t="shared" si="130"/>
        <v>265911447.43739998</v>
      </c>
      <c r="CD65" s="133">
        <f t="shared" si="130"/>
        <v>275428342.58343399</v>
      </c>
      <c r="CE65" s="133">
        <f t="shared" si="130"/>
        <v>298973195.61830729</v>
      </c>
      <c r="CF65" s="133">
        <f t="shared" si="130"/>
        <v>334216184.29937416</v>
      </c>
      <c r="CG65" s="133">
        <f t="shared" si="130"/>
        <v>309608088.49712336</v>
      </c>
      <c r="CH65" s="136">
        <f t="shared" si="130"/>
        <v>537010000</v>
      </c>
      <c r="CI65" s="133">
        <f t="shared" si="130"/>
        <v>639640600</v>
      </c>
      <c r="CJ65" s="133">
        <f t="shared" si="130"/>
        <v>322209582</v>
      </c>
      <c r="CK65" s="133">
        <f t="shared" si="130"/>
        <v>207644448.74000001</v>
      </c>
      <c r="CL65" s="133">
        <f t="shared" si="130"/>
        <v>178373225.06779999</v>
      </c>
      <c r="CM65" s="133">
        <f t="shared" si="130"/>
        <v>186444473.54274601</v>
      </c>
      <c r="CN65" s="133">
        <f t="shared" si="130"/>
        <v>210327310.50639862</v>
      </c>
      <c r="CO65" s="133">
        <f t="shared" si="130"/>
        <v>244091422.63410825</v>
      </c>
      <c r="CP65" s="133">
        <f t="shared" si="130"/>
        <v>219787083.98189947</v>
      </c>
      <c r="CQ65" s="137">
        <f t="shared" si="112"/>
        <v>2745528146.4729519</v>
      </c>
      <c r="CR65" s="138"/>
      <c r="CS65" s="140">
        <f>+CS66+CS70+CS74+CS76+CS78+CS82+CS85+CS87+CS91+CS95+CS97</f>
        <v>2666500</v>
      </c>
      <c r="CT65" s="126"/>
      <c r="CU65" s="126"/>
      <c r="CV65" s="126"/>
      <c r="CW65" s="126"/>
      <c r="CX65" s="126"/>
      <c r="CY65" s="141">
        <f>+CY66+CY70+CY74+CY76+CY78+CY82+CY85+CY87+CY91+CY95+CY97</f>
        <v>1278953146.4729521</v>
      </c>
      <c r="CZ65" s="132"/>
      <c r="DA65" s="509"/>
      <c r="DB65" s="381"/>
      <c r="DC65" s="381"/>
      <c r="DD65" s="506"/>
      <c r="DE65" s="381"/>
    </row>
    <row r="66" spans="1:109" ht="26.1" customHeight="1" x14ac:dyDescent="0.25">
      <c r="A66" s="143" t="s">
        <v>61</v>
      </c>
      <c r="B66" s="144" t="s">
        <v>722</v>
      </c>
      <c r="C66" s="143" t="s">
        <v>61</v>
      </c>
      <c r="D66" s="144" t="s">
        <v>357</v>
      </c>
      <c r="E66" s="59" t="s">
        <v>4</v>
      </c>
      <c r="F66" s="145"/>
      <c r="G66" s="60"/>
      <c r="H66" s="61"/>
      <c r="I66" s="62"/>
      <c r="J66" s="62"/>
      <c r="K66" s="147" t="s">
        <v>259</v>
      </c>
      <c r="L66" s="148"/>
      <c r="M66" s="149"/>
      <c r="O66" s="143" t="s">
        <v>61</v>
      </c>
      <c r="P66" s="150"/>
      <c r="Q66" s="145"/>
      <c r="R66" s="145"/>
      <c r="S66" s="145"/>
      <c r="T66" s="145"/>
      <c r="U66" s="145"/>
      <c r="V66" s="145"/>
      <c r="W66" s="145"/>
      <c r="X66" s="145"/>
      <c r="Y66" s="145"/>
      <c r="Z66" s="145"/>
      <c r="AA66" s="145"/>
      <c r="AB66" s="145"/>
      <c r="AC66" s="145"/>
      <c r="AD66" s="145"/>
      <c r="AE66" s="145"/>
      <c r="AF66" s="151"/>
      <c r="AG66" s="150"/>
      <c r="AH66" s="145"/>
      <c r="AI66" s="145"/>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254"/>
      <c r="BG66" s="150"/>
      <c r="BH66" s="154" t="s">
        <v>357</v>
      </c>
      <c r="BI66" s="155"/>
      <c r="BJ66" s="156">
        <f t="shared" ref="BJ66:BS66" si="131">SUM(BJ67:BJ69)</f>
        <v>12000000</v>
      </c>
      <c r="BK66" s="157">
        <f t="shared" si="131"/>
        <v>16160000</v>
      </c>
      <c r="BL66" s="152">
        <f t="shared" si="131"/>
        <v>16644800</v>
      </c>
      <c r="BM66" s="152">
        <f t="shared" si="131"/>
        <v>17144144</v>
      </c>
      <c r="BN66" s="152">
        <f t="shared" si="131"/>
        <v>17658468.32</v>
      </c>
      <c r="BO66" s="152">
        <f t="shared" si="131"/>
        <v>18188222.369600002</v>
      </c>
      <c r="BP66" s="152">
        <f t="shared" si="131"/>
        <v>18733869.040688001</v>
      </c>
      <c r="BQ66" s="152">
        <f t="shared" si="131"/>
        <v>19295885.111908644</v>
      </c>
      <c r="BR66" s="152">
        <f t="shared" si="131"/>
        <v>19874761.665265903</v>
      </c>
      <c r="BS66" s="152">
        <f t="shared" si="131"/>
        <v>20471004.515223879</v>
      </c>
      <c r="BT66" s="156">
        <f t="shared" si="124"/>
        <v>164171155.02268645</v>
      </c>
      <c r="BU66" s="158"/>
      <c r="BV66" s="145"/>
      <c r="BW66" s="145"/>
      <c r="BX66" s="159"/>
      <c r="BY66" s="157">
        <f t="shared" ref="BY66:CP66" si="132">SUM(BY67:BY69)</f>
        <v>61310000</v>
      </c>
      <c r="BZ66" s="152">
        <f t="shared" si="132"/>
        <v>122161800</v>
      </c>
      <c r="CA66" s="152">
        <f t="shared" si="132"/>
        <v>59851654</v>
      </c>
      <c r="CB66" s="152">
        <f t="shared" si="132"/>
        <v>80647203.620000005</v>
      </c>
      <c r="CC66" s="152">
        <f t="shared" si="132"/>
        <v>102066619.7286</v>
      </c>
      <c r="CD66" s="152">
        <f t="shared" si="132"/>
        <v>124128618.32045799</v>
      </c>
      <c r="CE66" s="152">
        <f t="shared" si="132"/>
        <v>146852476.87007177</v>
      </c>
      <c r="CF66" s="152">
        <f t="shared" si="132"/>
        <v>151258051.17617393</v>
      </c>
      <c r="CG66" s="156">
        <f t="shared" si="132"/>
        <v>155795792.71145913</v>
      </c>
      <c r="CH66" s="157">
        <f t="shared" si="132"/>
        <v>45150000</v>
      </c>
      <c r="CI66" s="152">
        <f t="shared" si="132"/>
        <v>105517000</v>
      </c>
      <c r="CJ66" s="152">
        <f t="shared" si="132"/>
        <v>42707510</v>
      </c>
      <c r="CK66" s="152">
        <f t="shared" si="132"/>
        <v>62988735.299999997</v>
      </c>
      <c r="CL66" s="152">
        <f t="shared" si="132"/>
        <v>83878397.358999997</v>
      </c>
      <c r="CM66" s="152">
        <f t="shared" si="132"/>
        <v>105394749.27977</v>
      </c>
      <c r="CN66" s="152">
        <f t="shared" si="132"/>
        <v>127556591.75816311</v>
      </c>
      <c r="CO66" s="152">
        <f t="shared" si="132"/>
        <v>131383289.51090802</v>
      </c>
      <c r="CP66" s="152">
        <f t="shared" si="132"/>
        <v>135324788.19623524</v>
      </c>
      <c r="CQ66" s="156">
        <f t="shared" si="112"/>
        <v>839901061.40407634</v>
      </c>
      <c r="CR66" s="158"/>
      <c r="CS66" s="160">
        <f>SUM(CS67:CS69)</f>
        <v>443000</v>
      </c>
      <c r="CT66" s="145"/>
      <c r="CU66" s="145"/>
      <c r="CV66" s="145"/>
      <c r="CW66" s="145"/>
      <c r="CX66" s="145"/>
      <c r="CY66" s="152">
        <f>SUM(CY67:CY69)</f>
        <v>596251061.40407622</v>
      </c>
      <c r="CZ66" s="151"/>
      <c r="DA66" s="162"/>
      <c r="DB66" s="381"/>
      <c r="DC66" s="381"/>
      <c r="DD66" s="506"/>
      <c r="DE66" s="381"/>
    </row>
    <row r="67" spans="1:109" ht="26.1" customHeight="1" x14ac:dyDescent="0.25">
      <c r="A67" s="204" t="s">
        <v>62</v>
      </c>
      <c r="B67" s="205" t="s">
        <v>723</v>
      </c>
      <c r="C67" s="204" t="s">
        <v>62</v>
      </c>
      <c r="D67" s="205" t="s">
        <v>356</v>
      </c>
      <c r="E67" s="47" t="s">
        <v>4</v>
      </c>
      <c r="F67" s="48" t="s">
        <v>406</v>
      </c>
      <c r="G67" s="48" t="s">
        <v>63</v>
      </c>
      <c r="H67" s="48" t="s">
        <v>119</v>
      </c>
      <c r="I67" s="49"/>
      <c r="J67" s="49" t="s">
        <v>214</v>
      </c>
      <c r="K67" s="206"/>
      <c r="L67" s="207"/>
      <c r="M67" s="208"/>
      <c r="O67" s="204" t="s">
        <v>62</v>
      </c>
      <c r="P67" s="47" t="s">
        <v>4</v>
      </c>
      <c r="Q67" s="48" t="s">
        <v>406</v>
      </c>
      <c r="R67" s="48" t="s">
        <v>314</v>
      </c>
      <c r="S67" s="48" t="s">
        <v>314</v>
      </c>
      <c r="T67" s="48" t="s">
        <v>314</v>
      </c>
      <c r="U67" s="48" t="s">
        <v>314</v>
      </c>
      <c r="V67" s="48"/>
      <c r="W67" s="48"/>
      <c r="X67" s="48" t="s">
        <v>307</v>
      </c>
      <c r="Y67" s="48"/>
      <c r="Z67" s="48" t="s">
        <v>314</v>
      </c>
      <c r="AA67" s="48"/>
      <c r="AB67" s="48"/>
      <c r="AC67" s="48" t="s">
        <v>314</v>
      </c>
      <c r="AD67" s="48"/>
      <c r="AE67" s="48" t="s">
        <v>314</v>
      </c>
      <c r="AF67" s="94"/>
      <c r="AG67" s="47" t="s">
        <v>315</v>
      </c>
      <c r="AH67" s="210" t="s">
        <v>319</v>
      </c>
      <c r="AI67" s="267" t="s">
        <v>327</v>
      </c>
      <c r="AJ67" s="170">
        <v>24000</v>
      </c>
      <c r="AK67" s="170">
        <v>500</v>
      </c>
      <c r="AL67" s="170">
        <v>500</v>
      </c>
      <c r="AM67" s="170">
        <v>500</v>
      </c>
      <c r="AN67" s="170">
        <v>500</v>
      </c>
      <c r="AO67" s="170">
        <v>500</v>
      </c>
      <c r="AP67" s="170">
        <v>500</v>
      </c>
      <c r="AQ67" s="170">
        <v>500</v>
      </c>
      <c r="AR67" s="170">
        <v>500</v>
      </c>
      <c r="AS67" s="170">
        <v>500</v>
      </c>
      <c r="AT67" s="170"/>
      <c r="AU67" s="170"/>
      <c r="AV67" s="170">
        <v>500</v>
      </c>
      <c r="AW67" s="170">
        <v>500</v>
      </c>
      <c r="AX67" s="170">
        <v>500</v>
      </c>
      <c r="AY67" s="170">
        <v>500</v>
      </c>
      <c r="AZ67" s="170">
        <v>500</v>
      </c>
      <c r="BA67" s="170">
        <v>500</v>
      </c>
      <c r="BB67" s="170">
        <v>500</v>
      </c>
      <c r="BC67" s="170">
        <v>500</v>
      </c>
      <c r="BD67" s="170">
        <v>500</v>
      </c>
      <c r="BE67" s="170"/>
      <c r="BF67" s="260"/>
      <c r="BG67" s="206" t="s">
        <v>4</v>
      </c>
      <c r="BH67" s="68" t="s">
        <v>321</v>
      </c>
      <c r="BI67" s="48" t="s">
        <v>323</v>
      </c>
      <c r="BJ67" s="269">
        <v>12000000</v>
      </c>
      <c r="BK67" s="212">
        <f>+BJ67*1.03</f>
        <v>12360000</v>
      </c>
      <c r="BL67" s="170">
        <f>+BK67*1.03</f>
        <v>12730800</v>
      </c>
      <c r="BM67" s="170">
        <f t="shared" ref="BM67:BS68" si="133">+BL67*1.03</f>
        <v>13112724</v>
      </c>
      <c r="BN67" s="170">
        <f t="shared" si="133"/>
        <v>13506105.720000001</v>
      </c>
      <c r="BO67" s="170">
        <f t="shared" si="133"/>
        <v>13911288.891600002</v>
      </c>
      <c r="BP67" s="170">
        <f t="shared" si="133"/>
        <v>14328627.558348002</v>
      </c>
      <c r="BQ67" s="170">
        <f t="shared" si="133"/>
        <v>14758486.385098442</v>
      </c>
      <c r="BR67" s="170">
        <f t="shared" si="133"/>
        <v>15201240.976651397</v>
      </c>
      <c r="BS67" s="170">
        <f t="shared" si="133"/>
        <v>15657278.205950938</v>
      </c>
      <c r="BT67" s="213">
        <f t="shared" si="124"/>
        <v>125566551.73764879</v>
      </c>
      <c r="BU67" s="270">
        <v>1</v>
      </c>
      <c r="BV67" s="48"/>
      <c r="BW67" s="48"/>
      <c r="BX67" s="243"/>
      <c r="BY67" s="212">
        <f>+BK67</f>
        <v>12360000</v>
      </c>
      <c r="BZ67" s="170">
        <f t="shared" ref="BZ67:CE67" si="134">+BY67*1.03+19000000</f>
        <v>31730800</v>
      </c>
      <c r="CA67" s="170">
        <f t="shared" si="134"/>
        <v>51682724</v>
      </c>
      <c r="CB67" s="170">
        <f t="shared" si="134"/>
        <v>72233205.719999999</v>
      </c>
      <c r="CC67" s="170">
        <f t="shared" si="134"/>
        <v>93400201.891599998</v>
      </c>
      <c r="CD67" s="170">
        <f t="shared" si="134"/>
        <v>115202207.948348</v>
      </c>
      <c r="CE67" s="170">
        <f t="shared" si="134"/>
        <v>137658274.18679845</v>
      </c>
      <c r="CF67" s="170">
        <f>+CE67*1.03</f>
        <v>141788022.41240242</v>
      </c>
      <c r="CG67" s="213">
        <f>+CF67*1.03</f>
        <v>146041663.08477449</v>
      </c>
      <c r="CH67" s="212">
        <f>+BY67-BK67</f>
        <v>0</v>
      </c>
      <c r="CI67" s="170">
        <f t="shared" ref="CI67:CP69" si="135">+BZ67-BL67</f>
        <v>19000000</v>
      </c>
      <c r="CJ67" s="170">
        <f t="shared" si="135"/>
        <v>38570000</v>
      </c>
      <c r="CK67" s="170">
        <f t="shared" si="135"/>
        <v>58727100</v>
      </c>
      <c r="CL67" s="170">
        <f t="shared" si="135"/>
        <v>79488913</v>
      </c>
      <c r="CM67" s="170">
        <f t="shared" si="135"/>
        <v>100873580.39</v>
      </c>
      <c r="CN67" s="170">
        <f t="shared" si="135"/>
        <v>122899787.80170001</v>
      </c>
      <c r="CO67" s="170">
        <f t="shared" si="135"/>
        <v>126586781.43575102</v>
      </c>
      <c r="CP67" s="170">
        <f t="shared" si="135"/>
        <v>130384384.87882355</v>
      </c>
      <c r="CQ67" s="213">
        <f t="shared" ref="CQ67:CQ73" si="136">SUM(CH67:CP67)</f>
        <v>676530547.50627446</v>
      </c>
      <c r="CR67" s="219"/>
      <c r="CS67" s="220">
        <v>218000</v>
      </c>
      <c r="CT67" s="220" t="s">
        <v>328</v>
      </c>
      <c r="CU67" s="210"/>
      <c r="CV67" s="210"/>
      <c r="CW67" s="210"/>
      <c r="CX67" s="210"/>
      <c r="CY67" s="221">
        <f>+CQ67-CS67*550</f>
        <v>556630547.50627446</v>
      </c>
      <c r="CZ67" s="222"/>
      <c r="DA67" s="246"/>
      <c r="DB67" s="381"/>
      <c r="DC67" s="381"/>
      <c r="DD67" s="506"/>
      <c r="DE67" s="381"/>
    </row>
    <row r="68" spans="1:109" ht="26.1" customHeight="1" x14ac:dyDescent="0.25">
      <c r="A68" s="237" t="s">
        <v>64</v>
      </c>
      <c r="B68" s="275" t="s">
        <v>724</v>
      </c>
      <c r="C68" s="237" t="s">
        <v>64</v>
      </c>
      <c r="D68" s="275" t="s">
        <v>357</v>
      </c>
      <c r="E68" s="47" t="s">
        <v>4</v>
      </c>
      <c r="F68" s="48" t="s">
        <v>406</v>
      </c>
      <c r="G68" s="48" t="s">
        <v>63</v>
      </c>
      <c r="H68" s="48" t="s">
        <v>120</v>
      </c>
      <c r="I68" s="49"/>
      <c r="J68" s="49" t="s">
        <v>221</v>
      </c>
      <c r="K68" s="206"/>
      <c r="L68" s="207"/>
      <c r="M68" s="208"/>
      <c r="O68" s="237" t="s">
        <v>64</v>
      </c>
      <c r="P68" s="47" t="s">
        <v>4</v>
      </c>
      <c r="Q68" s="48" t="s">
        <v>406</v>
      </c>
      <c r="R68" s="48" t="s">
        <v>314</v>
      </c>
      <c r="S68" s="48" t="s">
        <v>314</v>
      </c>
      <c r="T68" s="48" t="s">
        <v>314</v>
      </c>
      <c r="U68" s="48"/>
      <c r="V68" s="48"/>
      <c r="W68" s="48"/>
      <c r="X68" s="48" t="s">
        <v>307</v>
      </c>
      <c r="Y68" s="48"/>
      <c r="Z68" s="48"/>
      <c r="AA68" s="48"/>
      <c r="AB68" s="48"/>
      <c r="AC68" s="48" t="s">
        <v>314</v>
      </c>
      <c r="AD68" s="48"/>
      <c r="AE68" s="48" t="s">
        <v>314</v>
      </c>
      <c r="AF68" s="209"/>
      <c r="AG68" s="47" t="s">
        <v>315</v>
      </c>
      <c r="AH68" s="210" t="s">
        <v>309</v>
      </c>
      <c r="AI68" s="68" t="s">
        <v>329</v>
      </c>
      <c r="AJ68" s="170">
        <v>50</v>
      </c>
      <c r="AK68" s="170">
        <v>1</v>
      </c>
      <c r="AL68" s="170">
        <v>1</v>
      </c>
      <c r="AM68" s="170">
        <v>1</v>
      </c>
      <c r="AN68" s="170">
        <v>1</v>
      </c>
      <c r="AO68" s="170">
        <v>1</v>
      </c>
      <c r="AP68" s="170">
        <v>1</v>
      </c>
      <c r="AQ68" s="170">
        <v>1</v>
      </c>
      <c r="AR68" s="170">
        <v>1</v>
      </c>
      <c r="AS68" s="170">
        <v>1</v>
      </c>
      <c r="AT68" s="170"/>
      <c r="AU68" s="170"/>
      <c r="AV68" s="170">
        <v>2</v>
      </c>
      <c r="AW68" s="170">
        <v>3</v>
      </c>
      <c r="AX68" s="170">
        <v>2</v>
      </c>
      <c r="AY68" s="170">
        <v>3</v>
      </c>
      <c r="AZ68" s="170">
        <v>2</v>
      </c>
      <c r="BA68" s="170">
        <v>3</v>
      </c>
      <c r="BB68" s="170">
        <v>2</v>
      </c>
      <c r="BC68" s="170">
        <v>3</v>
      </c>
      <c r="BD68" s="170">
        <v>2</v>
      </c>
      <c r="BE68" s="170"/>
      <c r="BF68" s="260"/>
      <c r="BG68" s="206" t="s">
        <v>330</v>
      </c>
      <c r="BH68" s="68" t="s">
        <v>349</v>
      </c>
      <c r="BI68" s="48" t="s">
        <v>313</v>
      </c>
      <c r="BJ68" s="269">
        <v>0</v>
      </c>
      <c r="BK68" s="212">
        <f>1000000*13*0.2+1200000</f>
        <v>3800000</v>
      </c>
      <c r="BL68" s="170">
        <f>+BK68*1.03</f>
        <v>3914000</v>
      </c>
      <c r="BM68" s="170">
        <f t="shared" si="133"/>
        <v>4031420</v>
      </c>
      <c r="BN68" s="170">
        <f t="shared" si="133"/>
        <v>4152362.6</v>
      </c>
      <c r="BO68" s="170">
        <f t="shared" si="133"/>
        <v>4276933.4780000001</v>
      </c>
      <c r="BP68" s="170">
        <f t="shared" si="133"/>
        <v>4405241.4823400006</v>
      </c>
      <c r="BQ68" s="170">
        <f t="shared" si="133"/>
        <v>4537398.7268102011</v>
      </c>
      <c r="BR68" s="170">
        <f t="shared" si="133"/>
        <v>4673520.6886145072</v>
      </c>
      <c r="BS68" s="170">
        <f t="shared" si="133"/>
        <v>4813726.3092729421</v>
      </c>
      <c r="BT68" s="213">
        <f t="shared" si="124"/>
        <v>38604603.285037659</v>
      </c>
      <c r="BU68" s="270">
        <v>1</v>
      </c>
      <c r="BV68" s="48"/>
      <c r="BW68" s="48"/>
      <c r="BX68" s="243"/>
      <c r="BY68" s="212">
        <f>1000000*13*0.5+1200000</f>
        <v>7700000</v>
      </c>
      <c r="BZ68" s="170">
        <f>+BY68*1.03</f>
        <v>7931000</v>
      </c>
      <c r="CA68" s="170">
        <f t="shared" ref="CA68:CG68" si="137">+BZ68*1.03</f>
        <v>8168930</v>
      </c>
      <c r="CB68" s="170">
        <f t="shared" si="137"/>
        <v>8413997.9000000004</v>
      </c>
      <c r="CC68" s="170">
        <f t="shared" si="137"/>
        <v>8666417.8370000012</v>
      </c>
      <c r="CD68" s="170">
        <f t="shared" si="137"/>
        <v>8926410.3721100017</v>
      </c>
      <c r="CE68" s="170">
        <f t="shared" si="137"/>
        <v>9194202.6832733024</v>
      </c>
      <c r="CF68" s="170">
        <f t="shared" si="137"/>
        <v>9470028.7637715023</v>
      </c>
      <c r="CG68" s="213">
        <f t="shared" si="137"/>
        <v>9754129.6266846471</v>
      </c>
      <c r="CH68" s="212">
        <f>+BY68-BK68</f>
        <v>3900000</v>
      </c>
      <c r="CI68" s="170">
        <f t="shared" si="135"/>
        <v>4017000</v>
      </c>
      <c r="CJ68" s="170">
        <f t="shared" si="135"/>
        <v>4137510</v>
      </c>
      <c r="CK68" s="170">
        <f t="shared" si="135"/>
        <v>4261635.3000000007</v>
      </c>
      <c r="CL68" s="170">
        <f t="shared" si="135"/>
        <v>4389484.3590000011</v>
      </c>
      <c r="CM68" s="170">
        <f t="shared" si="135"/>
        <v>4521168.8897700012</v>
      </c>
      <c r="CN68" s="170">
        <f t="shared" si="135"/>
        <v>4656803.9564631013</v>
      </c>
      <c r="CO68" s="170">
        <f t="shared" si="135"/>
        <v>4796508.0751569951</v>
      </c>
      <c r="CP68" s="170">
        <f t="shared" si="135"/>
        <v>4940403.3174117049</v>
      </c>
      <c r="CQ68" s="213">
        <f t="shared" si="136"/>
        <v>39620513.897801809</v>
      </c>
      <c r="CR68" s="219"/>
      <c r="CS68" s="220"/>
      <c r="CT68" s="220"/>
      <c r="CU68" s="210"/>
      <c r="CV68" s="210"/>
      <c r="CW68" s="210"/>
      <c r="CX68" s="210"/>
      <c r="CY68" s="221">
        <f>+CQ68-CS68*550</f>
        <v>39620513.897801809</v>
      </c>
      <c r="CZ68" s="222"/>
      <c r="DA68" s="246"/>
      <c r="DB68" s="381"/>
      <c r="DC68" s="381"/>
      <c r="DD68" s="506"/>
      <c r="DE68" s="381"/>
    </row>
    <row r="69" spans="1:109" ht="26.1" customHeight="1" x14ac:dyDescent="0.25">
      <c r="A69" s="204" t="s">
        <v>65</v>
      </c>
      <c r="B69" s="205" t="s">
        <v>725</v>
      </c>
      <c r="C69" s="422" t="s">
        <v>65</v>
      </c>
      <c r="D69" s="205" t="s">
        <v>357</v>
      </c>
      <c r="E69" s="47" t="s">
        <v>4</v>
      </c>
      <c r="F69" s="48" t="s">
        <v>403</v>
      </c>
      <c r="G69" s="48" t="s">
        <v>393</v>
      </c>
      <c r="H69" s="48" t="s">
        <v>121</v>
      </c>
      <c r="I69" s="49" t="s">
        <v>246</v>
      </c>
      <c r="J69" s="49" t="s">
        <v>235</v>
      </c>
      <c r="K69" s="206"/>
      <c r="L69" s="207"/>
      <c r="M69" s="208"/>
      <c r="O69" s="312" t="s">
        <v>65</v>
      </c>
      <c r="P69" s="313" t="s">
        <v>4</v>
      </c>
      <c r="Q69" s="77" t="s">
        <v>403</v>
      </c>
      <c r="R69" s="77"/>
      <c r="S69" s="77" t="s">
        <v>314</v>
      </c>
      <c r="T69" s="77" t="s">
        <v>314</v>
      </c>
      <c r="U69" s="77" t="s">
        <v>314</v>
      </c>
      <c r="V69" s="77" t="s">
        <v>314</v>
      </c>
      <c r="W69" s="77"/>
      <c r="X69" s="77" t="s">
        <v>307</v>
      </c>
      <c r="Y69" s="77"/>
      <c r="Z69" s="77"/>
      <c r="AA69" s="77"/>
      <c r="AB69" s="77"/>
      <c r="AC69" s="77" t="s">
        <v>314</v>
      </c>
      <c r="AD69" s="77"/>
      <c r="AE69" s="77"/>
      <c r="AF69" s="314"/>
      <c r="AG69" s="313" t="s">
        <v>315</v>
      </c>
      <c r="AH69" s="315" t="s">
        <v>319</v>
      </c>
      <c r="AI69" s="316" t="s">
        <v>483</v>
      </c>
      <c r="AJ69" s="317">
        <v>1</v>
      </c>
      <c r="AK69" s="317">
        <v>0</v>
      </c>
      <c r="AL69" s="317">
        <v>0</v>
      </c>
      <c r="AM69" s="317">
        <v>0</v>
      </c>
      <c r="AN69" s="317">
        <v>0</v>
      </c>
      <c r="AO69" s="317">
        <v>0</v>
      </c>
      <c r="AP69" s="317">
        <v>0</v>
      </c>
      <c r="AQ69" s="317">
        <v>0</v>
      </c>
      <c r="AR69" s="317">
        <v>0</v>
      </c>
      <c r="AS69" s="317">
        <v>0</v>
      </c>
      <c r="AT69" s="317"/>
      <c r="AU69" s="317"/>
      <c r="AV69" s="317">
        <v>1</v>
      </c>
      <c r="AW69" s="317">
        <v>0</v>
      </c>
      <c r="AX69" s="317">
        <v>0</v>
      </c>
      <c r="AY69" s="317">
        <v>0</v>
      </c>
      <c r="AZ69" s="317">
        <v>0</v>
      </c>
      <c r="BA69" s="317">
        <v>0</v>
      </c>
      <c r="BB69" s="317">
        <v>0</v>
      </c>
      <c r="BC69" s="317">
        <v>0</v>
      </c>
      <c r="BD69" s="317">
        <v>0</v>
      </c>
      <c r="BE69" s="317"/>
      <c r="BF69" s="318"/>
      <c r="BG69" s="319" t="s">
        <v>330</v>
      </c>
      <c r="BH69" s="68" t="s">
        <v>349</v>
      </c>
      <c r="BI69" s="77" t="s">
        <v>313</v>
      </c>
      <c r="BJ69" s="320"/>
      <c r="BK69" s="321">
        <v>0</v>
      </c>
      <c r="BL69" s="317">
        <v>0</v>
      </c>
      <c r="BM69" s="317">
        <v>0</v>
      </c>
      <c r="BN69" s="317">
        <v>0</v>
      </c>
      <c r="BO69" s="317">
        <v>0</v>
      </c>
      <c r="BP69" s="317">
        <v>0</v>
      </c>
      <c r="BQ69" s="317">
        <v>0</v>
      </c>
      <c r="BR69" s="317">
        <v>0</v>
      </c>
      <c r="BS69" s="317">
        <v>0</v>
      </c>
      <c r="BT69" s="213">
        <f t="shared" si="124"/>
        <v>0</v>
      </c>
      <c r="BU69" s="322"/>
      <c r="BV69" s="77"/>
      <c r="BW69" s="77"/>
      <c r="BX69" s="323"/>
      <c r="BY69" s="321">
        <f>75000*550</f>
        <v>41250000</v>
      </c>
      <c r="BZ69" s="317">
        <f>150000*550</f>
        <v>82500000</v>
      </c>
      <c r="CA69" s="317">
        <v>0</v>
      </c>
      <c r="CB69" s="317">
        <v>0</v>
      </c>
      <c r="CC69" s="317">
        <v>0</v>
      </c>
      <c r="CD69" s="317">
        <v>0</v>
      </c>
      <c r="CE69" s="317">
        <v>0</v>
      </c>
      <c r="CF69" s="317">
        <v>0</v>
      </c>
      <c r="CG69" s="324">
        <v>0</v>
      </c>
      <c r="CH69" s="217">
        <f>+BY69-BK69</f>
        <v>41250000</v>
      </c>
      <c r="CI69" s="170">
        <f>+BZ69-BL69</f>
        <v>82500000</v>
      </c>
      <c r="CJ69" s="170">
        <f t="shared" si="135"/>
        <v>0</v>
      </c>
      <c r="CK69" s="170">
        <f t="shared" si="135"/>
        <v>0</v>
      </c>
      <c r="CL69" s="170">
        <f t="shared" si="135"/>
        <v>0</v>
      </c>
      <c r="CM69" s="170">
        <f t="shared" si="135"/>
        <v>0</v>
      </c>
      <c r="CN69" s="170">
        <f t="shared" si="135"/>
        <v>0</v>
      </c>
      <c r="CO69" s="170">
        <f t="shared" si="135"/>
        <v>0</v>
      </c>
      <c r="CP69" s="170">
        <f t="shared" si="135"/>
        <v>0</v>
      </c>
      <c r="CQ69" s="218">
        <f t="shared" si="136"/>
        <v>123750000</v>
      </c>
      <c r="CR69" s="325"/>
      <c r="CS69" s="326">
        <f>150000+75000</f>
        <v>225000</v>
      </c>
      <c r="CT69" s="326" t="s">
        <v>482</v>
      </c>
      <c r="CU69" s="315"/>
      <c r="CV69" s="315"/>
      <c r="CW69" s="315"/>
      <c r="CX69" s="315"/>
      <c r="CY69" s="221">
        <f>+CQ69-CS69*550</f>
        <v>0</v>
      </c>
      <c r="CZ69" s="327"/>
      <c r="DA69" s="328"/>
      <c r="DB69" s="381"/>
      <c r="DC69" s="381"/>
      <c r="DD69" s="506"/>
      <c r="DE69" s="381"/>
    </row>
    <row r="70" spans="1:109" ht="26.1" customHeight="1" x14ac:dyDescent="0.25">
      <c r="A70" s="143" t="s">
        <v>66</v>
      </c>
      <c r="B70" s="144" t="s">
        <v>726</v>
      </c>
      <c r="C70" s="143" t="s">
        <v>66</v>
      </c>
      <c r="D70" s="144" t="s">
        <v>357</v>
      </c>
      <c r="E70" s="59" t="s">
        <v>490</v>
      </c>
      <c r="F70" s="145"/>
      <c r="G70" s="60"/>
      <c r="H70" s="61"/>
      <c r="I70" s="62"/>
      <c r="J70" s="62"/>
      <c r="K70" s="147" t="s">
        <v>259</v>
      </c>
      <c r="L70" s="148"/>
      <c r="M70" s="149"/>
      <c r="O70" s="143" t="s">
        <v>66</v>
      </c>
      <c r="P70" s="150"/>
      <c r="Q70" s="145"/>
      <c r="R70" s="145"/>
      <c r="S70" s="145"/>
      <c r="T70" s="145"/>
      <c r="U70" s="145"/>
      <c r="V70" s="145"/>
      <c r="W70" s="145"/>
      <c r="X70" s="145"/>
      <c r="Y70" s="145"/>
      <c r="Z70" s="145"/>
      <c r="AA70" s="145"/>
      <c r="AB70" s="145"/>
      <c r="AC70" s="145"/>
      <c r="AD70" s="145"/>
      <c r="AE70" s="145"/>
      <c r="AF70" s="151"/>
      <c r="AG70" s="150"/>
      <c r="AH70" s="145"/>
      <c r="AI70" s="145"/>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254"/>
      <c r="BG70" s="150"/>
      <c r="BH70" s="154" t="s">
        <v>357</v>
      </c>
      <c r="BI70" s="155"/>
      <c r="BJ70" s="156">
        <f t="shared" ref="BJ70:BS70" si="138">SUM(BJ71:BJ73)</f>
        <v>0</v>
      </c>
      <c r="BK70" s="157">
        <f t="shared" si="138"/>
        <v>6100000</v>
      </c>
      <c r="BL70" s="152">
        <f t="shared" si="138"/>
        <v>6100000</v>
      </c>
      <c r="BM70" s="152">
        <f t="shared" si="138"/>
        <v>6100000</v>
      </c>
      <c r="BN70" s="152">
        <f t="shared" si="138"/>
        <v>6100000</v>
      </c>
      <c r="BO70" s="152">
        <f t="shared" si="138"/>
        <v>6100000</v>
      </c>
      <c r="BP70" s="152">
        <f t="shared" si="138"/>
        <v>6100000</v>
      </c>
      <c r="BQ70" s="152">
        <f t="shared" si="138"/>
        <v>6100000</v>
      </c>
      <c r="BR70" s="152">
        <f t="shared" si="138"/>
        <v>6100000</v>
      </c>
      <c r="BS70" s="152">
        <f t="shared" si="138"/>
        <v>6100000</v>
      </c>
      <c r="BT70" s="156">
        <f t="shared" ref="BT70:BT82" si="139">SUM(BK70:BS70)</f>
        <v>54900000</v>
      </c>
      <c r="BU70" s="158"/>
      <c r="BV70" s="145"/>
      <c r="BW70" s="145"/>
      <c r="BX70" s="159"/>
      <c r="BY70" s="157">
        <f t="shared" ref="BY70:CP70" si="140">SUM(BY71:BY73)</f>
        <v>55375000</v>
      </c>
      <c r="BZ70" s="152">
        <f t="shared" si="140"/>
        <v>45200000</v>
      </c>
      <c r="CA70" s="152">
        <f t="shared" si="140"/>
        <v>12200000</v>
      </c>
      <c r="CB70" s="152">
        <f t="shared" si="140"/>
        <v>12200000</v>
      </c>
      <c r="CC70" s="152">
        <f t="shared" si="140"/>
        <v>12200000</v>
      </c>
      <c r="CD70" s="152">
        <f t="shared" si="140"/>
        <v>12200000</v>
      </c>
      <c r="CE70" s="152">
        <f t="shared" si="140"/>
        <v>12200000</v>
      </c>
      <c r="CF70" s="152">
        <f t="shared" si="140"/>
        <v>12200000</v>
      </c>
      <c r="CG70" s="156">
        <f t="shared" si="140"/>
        <v>12200000</v>
      </c>
      <c r="CH70" s="157">
        <f t="shared" si="140"/>
        <v>49275000</v>
      </c>
      <c r="CI70" s="152">
        <f t="shared" si="140"/>
        <v>39100000</v>
      </c>
      <c r="CJ70" s="152">
        <f t="shared" si="140"/>
        <v>6100000</v>
      </c>
      <c r="CK70" s="152">
        <f t="shared" si="140"/>
        <v>6100000</v>
      </c>
      <c r="CL70" s="152">
        <f t="shared" si="140"/>
        <v>6100000</v>
      </c>
      <c r="CM70" s="152">
        <f t="shared" si="140"/>
        <v>6100000</v>
      </c>
      <c r="CN70" s="152">
        <f t="shared" si="140"/>
        <v>6100000</v>
      </c>
      <c r="CO70" s="152">
        <f t="shared" si="140"/>
        <v>6100000</v>
      </c>
      <c r="CP70" s="152">
        <f t="shared" si="140"/>
        <v>6100000</v>
      </c>
      <c r="CQ70" s="156">
        <f t="shared" si="136"/>
        <v>131075000</v>
      </c>
      <c r="CR70" s="158"/>
      <c r="CS70" s="160">
        <f>SUM(CS71:CS73)</f>
        <v>228500</v>
      </c>
      <c r="CT70" s="145"/>
      <c r="CU70" s="145"/>
      <c r="CV70" s="145"/>
      <c r="CW70" s="145"/>
      <c r="CX70" s="145"/>
      <c r="CY70" s="152">
        <f>SUM(CY71:CY73)</f>
        <v>5400000</v>
      </c>
      <c r="CZ70" s="151"/>
      <c r="DA70" s="162"/>
      <c r="DB70" s="381"/>
      <c r="DC70" s="381"/>
      <c r="DD70" s="506"/>
      <c r="DE70" s="381"/>
    </row>
    <row r="71" spans="1:109" ht="26.1" customHeight="1" x14ac:dyDescent="0.25">
      <c r="A71" s="204" t="s">
        <v>67</v>
      </c>
      <c r="B71" s="205" t="s">
        <v>727</v>
      </c>
      <c r="C71" s="204" t="s">
        <v>67</v>
      </c>
      <c r="D71" s="205" t="s">
        <v>356</v>
      </c>
      <c r="E71" s="47" t="s">
        <v>4</v>
      </c>
      <c r="F71" s="48" t="s">
        <v>406</v>
      </c>
      <c r="G71" s="48" t="s">
        <v>63</v>
      </c>
      <c r="H71" s="48" t="s">
        <v>122</v>
      </c>
      <c r="I71" s="49"/>
      <c r="J71" s="49" t="s">
        <v>236</v>
      </c>
      <c r="K71" s="206"/>
      <c r="L71" s="207"/>
      <c r="M71" s="208"/>
      <c r="O71" s="204" t="s">
        <v>67</v>
      </c>
      <c r="P71" s="47" t="s">
        <v>4</v>
      </c>
      <c r="Q71" s="48" t="s">
        <v>406</v>
      </c>
      <c r="R71" s="48" t="s">
        <v>314</v>
      </c>
      <c r="S71" s="48" t="s">
        <v>314</v>
      </c>
      <c r="T71" s="48" t="s">
        <v>314</v>
      </c>
      <c r="U71" s="48" t="s">
        <v>314</v>
      </c>
      <c r="V71" s="48"/>
      <c r="W71" s="48"/>
      <c r="X71" s="48" t="s">
        <v>307</v>
      </c>
      <c r="Y71" s="48"/>
      <c r="Z71" s="48" t="s">
        <v>314</v>
      </c>
      <c r="AA71" s="48"/>
      <c r="AB71" s="48"/>
      <c r="AC71" s="48"/>
      <c r="AD71" s="48"/>
      <c r="AE71" s="48"/>
      <c r="AF71" s="209"/>
      <c r="AG71" s="47" t="s">
        <v>308</v>
      </c>
      <c r="AH71" s="210" t="s">
        <v>309</v>
      </c>
      <c r="AI71" s="267" t="s">
        <v>331</v>
      </c>
      <c r="AJ71" s="170">
        <v>0</v>
      </c>
      <c r="AK71" s="170">
        <v>52</v>
      </c>
      <c r="AL71" s="170">
        <v>52</v>
      </c>
      <c r="AM71" s="170">
        <v>52</v>
      </c>
      <c r="AN71" s="170">
        <v>52</v>
      </c>
      <c r="AO71" s="170">
        <v>52</v>
      </c>
      <c r="AP71" s="170">
        <v>52</v>
      </c>
      <c r="AQ71" s="170">
        <v>52</v>
      </c>
      <c r="AR71" s="170">
        <v>52</v>
      </c>
      <c r="AS71" s="170">
        <v>52</v>
      </c>
      <c r="AT71" s="170"/>
      <c r="AU71" s="170"/>
      <c r="AV71" s="170">
        <f>+AK71*2</f>
        <v>104</v>
      </c>
      <c r="AW71" s="170">
        <f t="shared" ref="AW71:BD71" si="141">+AL71*2</f>
        <v>104</v>
      </c>
      <c r="AX71" s="170">
        <f t="shared" si="141"/>
        <v>104</v>
      </c>
      <c r="AY71" s="170">
        <f t="shared" si="141"/>
        <v>104</v>
      </c>
      <c r="AZ71" s="170">
        <f t="shared" si="141"/>
        <v>104</v>
      </c>
      <c r="BA71" s="170">
        <f t="shared" si="141"/>
        <v>104</v>
      </c>
      <c r="BB71" s="170">
        <f t="shared" si="141"/>
        <v>104</v>
      </c>
      <c r="BC71" s="170">
        <f t="shared" si="141"/>
        <v>104</v>
      </c>
      <c r="BD71" s="170">
        <f t="shared" si="141"/>
        <v>104</v>
      </c>
      <c r="BE71" s="170"/>
      <c r="BF71" s="260"/>
      <c r="BG71" s="206" t="s">
        <v>4</v>
      </c>
      <c r="BH71" s="68" t="s">
        <v>321</v>
      </c>
      <c r="BI71" s="48" t="s">
        <v>323</v>
      </c>
      <c r="BJ71" s="241"/>
      <c r="BK71" s="212">
        <f>+AK71*100000</f>
        <v>5200000</v>
      </c>
      <c r="BL71" s="170">
        <f t="shared" ref="BL71:BS71" si="142">+AL71*100000</f>
        <v>5200000</v>
      </c>
      <c r="BM71" s="170">
        <f t="shared" si="142"/>
        <v>5200000</v>
      </c>
      <c r="BN71" s="170">
        <f t="shared" si="142"/>
        <v>5200000</v>
      </c>
      <c r="BO71" s="170">
        <f t="shared" si="142"/>
        <v>5200000</v>
      </c>
      <c r="BP71" s="170">
        <f t="shared" si="142"/>
        <v>5200000</v>
      </c>
      <c r="BQ71" s="170">
        <f t="shared" si="142"/>
        <v>5200000</v>
      </c>
      <c r="BR71" s="170">
        <f t="shared" si="142"/>
        <v>5200000</v>
      </c>
      <c r="BS71" s="170">
        <f t="shared" si="142"/>
        <v>5200000</v>
      </c>
      <c r="BT71" s="213">
        <f t="shared" si="139"/>
        <v>46800000</v>
      </c>
      <c r="BU71" s="242">
        <v>1</v>
      </c>
      <c r="BV71" s="48"/>
      <c r="BW71" s="48"/>
      <c r="BX71" s="243"/>
      <c r="BY71" s="212">
        <f>+AV71*100000</f>
        <v>10400000</v>
      </c>
      <c r="BZ71" s="170">
        <f t="shared" ref="BZ71:CG71" si="143">+AW71*100000</f>
        <v>10400000</v>
      </c>
      <c r="CA71" s="170">
        <f t="shared" si="143"/>
        <v>10400000</v>
      </c>
      <c r="CB71" s="170">
        <f t="shared" si="143"/>
        <v>10400000</v>
      </c>
      <c r="CC71" s="170">
        <f t="shared" si="143"/>
        <v>10400000</v>
      </c>
      <c r="CD71" s="170">
        <f t="shared" si="143"/>
        <v>10400000</v>
      </c>
      <c r="CE71" s="170">
        <f t="shared" si="143"/>
        <v>10400000</v>
      </c>
      <c r="CF71" s="170">
        <f t="shared" si="143"/>
        <v>10400000</v>
      </c>
      <c r="CG71" s="213">
        <f t="shared" si="143"/>
        <v>10400000</v>
      </c>
      <c r="CH71" s="212">
        <f>+BY71-BK71</f>
        <v>5200000</v>
      </c>
      <c r="CI71" s="170">
        <f t="shared" ref="CI71:CP72" si="144">+BZ71-BL71</f>
        <v>5200000</v>
      </c>
      <c r="CJ71" s="170">
        <f t="shared" si="144"/>
        <v>5200000</v>
      </c>
      <c r="CK71" s="170">
        <f t="shared" si="144"/>
        <v>5200000</v>
      </c>
      <c r="CL71" s="170">
        <f t="shared" si="144"/>
        <v>5200000</v>
      </c>
      <c r="CM71" s="170">
        <f t="shared" si="144"/>
        <v>5200000</v>
      </c>
      <c r="CN71" s="170">
        <f t="shared" si="144"/>
        <v>5200000</v>
      </c>
      <c r="CO71" s="170">
        <f t="shared" si="144"/>
        <v>5200000</v>
      </c>
      <c r="CP71" s="170">
        <f t="shared" si="144"/>
        <v>5200000</v>
      </c>
      <c r="CQ71" s="213">
        <f t="shared" si="136"/>
        <v>46800000</v>
      </c>
      <c r="CR71" s="219"/>
      <c r="CS71" s="220">
        <v>76000</v>
      </c>
      <c r="CT71" s="220" t="s">
        <v>332</v>
      </c>
      <c r="CU71" s="210"/>
      <c r="CV71" s="210"/>
      <c r="CW71" s="210"/>
      <c r="CX71" s="210"/>
      <c r="CY71" s="221">
        <f>+CQ71-CS71*550</f>
        <v>5000000</v>
      </c>
      <c r="CZ71" s="222"/>
      <c r="DA71" s="246"/>
      <c r="DB71" s="381"/>
      <c r="DC71" s="381"/>
      <c r="DD71" s="506"/>
      <c r="DE71" s="381"/>
    </row>
    <row r="72" spans="1:109" ht="26.1" customHeight="1" x14ac:dyDescent="0.25">
      <c r="A72" s="312" t="s">
        <v>68</v>
      </c>
      <c r="B72" s="205" t="s">
        <v>728</v>
      </c>
      <c r="C72" s="422" t="s">
        <v>68</v>
      </c>
      <c r="D72" s="205" t="s">
        <v>357</v>
      </c>
      <c r="E72" s="423" t="s">
        <v>2</v>
      </c>
      <c r="F72" s="424" t="s">
        <v>403</v>
      </c>
      <c r="G72" s="424" t="s">
        <v>401</v>
      </c>
      <c r="H72" s="48" t="s">
        <v>123</v>
      </c>
      <c r="I72" s="49"/>
      <c r="J72" s="49" t="s">
        <v>214</v>
      </c>
      <c r="K72" s="206"/>
      <c r="L72" s="207"/>
      <c r="M72" s="208"/>
      <c r="O72" s="312" t="s">
        <v>68</v>
      </c>
      <c r="P72" s="423" t="s">
        <v>2</v>
      </c>
      <c r="Q72" s="77" t="s">
        <v>401</v>
      </c>
      <c r="R72" s="255"/>
      <c r="S72" s="255"/>
      <c r="T72" s="255"/>
      <c r="U72" s="255"/>
      <c r="V72" s="255"/>
      <c r="W72" s="255"/>
      <c r="X72" s="255"/>
      <c r="Y72" s="255"/>
      <c r="Z72" s="255"/>
      <c r="AA72" s="255"/>
      <c r="AB72" s="255"/>
      <c r="AC72" s="255"/>
      <c r="AD72" s="255"/>
      <c r="AE72" s="255"/>
      <c r="AF72" s="333"/>
      <c r="AG72" s="332"/>
      <c r="AH72" s="255"/>
      <c r="AI72" s="255"/>
      <c r="AJ72" s="272"/>
      <c r="AK72" s="272"/>
      <c r="AL72" s="272"/>
      <c r="AM72" s="272"/>
      <c r="AN72" s="272"/>
      <c r="AO72" s="272"/>
      <c r="AP72" s="272"/>
      <c r="AQ72" s="272"/>
      <c r="AR72" s="272"/>
      <c r="AS72" s="272"/>
      <c r="AT72" s="272"/>
      <c r="AU72" s="272"/>
      <c r="AV72" s="272"/>
      <c r="AW72" s="272"/>
      <c r="AX72" s="272"/>
      <c r="AY72" s="272"/>
      <c r="AZ72" s="272"/>
      <c r="BA72" s="272"/>
      <c r="BB72" s="272"/>
      <c r="BC72" s="272"/>
      <c r="BD72" s="272"/>
      <c r="BE72" s="272"/>
      <c r="BF72" s="334"/>
      <c r="BG72" s="332"/>
      <c r="BH72" s="68" t="s">
        <v>349</v>
      </c>
      <c r="BI72" s="335" t="s">
        <v>323</v>
      </c>
      <c r="BJ72" s="336"/>
      <c r="BK72" s="337">
        <v>0</v>
      </c>
      <c r="BL72" s="272">
        <v>0</v>
      </c>
      <c r="BM72" s="272">
        <v>0</v>
      </c>
      <c r="BN72" s="272">
        <v>0</v>
      </c>
      <c r="BO72" s="272">
        <v>0</v>
      </c>
      <c r="BP72" s="272">
        <v>0</v>
      </c>
      <c r="BQ72" s="272">
        <v>0</v>
      </c>
      <c r="BR72" s="272">
        <v>0</v>
      </c>
      <c r="BS72" s="272">
        <v>0</v>
      </c>
      <c r="BT72" s="213">
        <f t="shared" si="139"/>
        <v>0</v>
      </c>
      <c r="BU72" s="338"/>
      <c r="BV72" s="255"/>
      <c r="BW72" s="255"/>
      <c r="BX72" s="336"/>
      <c r="BY72" s="337">
        <f>+(20500+18000+40000)*550</f>
        <v>43175000</v>
      </c>
      <c r="BZ72" s="272">
        <f>60000*550</f>
        <v>33000000</v>
      </c>
      <c r="CA72" s="272">
        <v>0</v>
      </c>
      <c r="CB72" s="272">
        <v>0</v>
      </c>
      <c r="CC72" s="272">
        <v>0</v>
      </c>
      <c r="CD72" s="272">
        <v>0</v>
      </c>
      <c r="CE72" s="272">
        <v>0</v>
      </c>
      <c r="CF72" s="272">
        <v>0</v>
      </c>
      <c r="CG72" s="339">
        <v>0</v>
      </c>
      <c r="CH72" s="217">
        <f>+BY72-BK72</f>
        <v>43175000</v>
      </c>
      <c r="CI72" s="170">
        <f>+BZ72-BL72</f>
        <v>33000000</v>
      </c>
      <c r="CJ72" s="170">
        <f t="shared" si="144"/>
        <v>0</v>
      </c>
      <c r="CK72" s="170">
        <f t="shared" si="144"/>
        <v>0</v>
      </c>
      <c r="CL72" s="170">
        <f t="shared" si="144"/>
        <v>0</v>
      </c>
      <c r="CM72" s="170">
        <f t="shared" si="144"/>
        <v>0</v>
      </c>
      <c r="CN72" s="170">
        <f t="shared" si="144"/>
        <v>0</v>
      </c>
      <c r="CO72" s="170">
        <f t="shared" si="144"/>
        <v>0</v>
      </c>
      <c r="CP72" s="170">
        <f t="shared" si="144"/>
        <v>0</v>
      </c>
      <c r="CQ72" s="218">
        <f t="shared" si="136"/>
        <v>76175000</v>
      </c>
      <c r="CR72" s="338"/>
      <c r="CS72" s="220">
        <v>138500</v>
      </c>
      <c r="CT72" s="255" t="s">
        <v>485</v>
      </c>
      <c r="CU72" s="255"/>
      <c r="CV72" s="255"/>
      <c r="CW72" s="255"/>
      <c r="CX72" s="255"/>
      <c r="CY72" s="221">
        <f>+CQ72-CS72*550</f>
        <v>0</v>
      </c>
      <c r="CZ72" s="333"/>
      <c r="DA72" s="246"/>
      <c r="DB72" s="381"/>
      <c r="DC72" s="381"/>
      <c r="DD72" s="506"/>
      <c r="DE72" s="381"/>
    </row>
    <row r="73" spans="1:109" ht="26.1" customHeight="1" x14ac:dyDescent="0.25">
      <c r="A73" s="204" t="s">
        <v>69</v>
      </c>
      <c r="B73" s="205" t="s">
        <v>729</v>
      </c>
      <c r="C73" s="204" t="s">
        <v>69</v>
      </c>
      <c r="D73" s="205" t="s">
        <v>357</v>
      </c>
      <c r="E73" s="47" t="s">
        <v>4</v>
      </c>
      <c r="F73" s="48" t="s">
        <v>406</v>
      </c>
      <c r="G73" s="48" t="s">
        <v>63</v>
      </c>
      <c r="H73" s="48" t="s">
        <v>124</v>
      </c>
      <c r="I73" s="49"/>
      <c r="J73" s="49" t="s">
        <v>236</v>
      </c>
      <c r="K73" s="206"/>
      <c r="L73" s="207"/>
      <c r="M73" s="208"/>
      <c r="O73" s="204" t="s">
        <v>69</v>
      </c>
      <c r="P73" s="47" t="s">
        <v>4</v>
      </c>
      <c r="Q73" s="48" t="s">
        <v>406</v>
      </c>
      <c r="R73" s="48" t="s">
        <v>314</v>
      </c>
      <c r="S73" s="48" t="s">
        <v>314</v>
      </c>
      <c r="T73" s="48" t="s">
        <v>314</v>
      </c>
      <c r="U73" s="48" t="s">
        <v>314</v>
      </c>
      <c r="V73" s="48"/>
      <c r="W73" s="48"/>
      <c r="X73" s="48" t="s">
        <v>307</v>
      </c>
      <c r="Y73" s="48"/>
      <c r="Z73" s="48" t="s">
        <v>314</v>
      </c>
      <c r="AA73" s="48"/>
      <c r="AB73" s="48"/>
      <c r="AC73" s="48" t="s">
        <v>314</v>
      </c>
      <c r="AD73" s="48"/>
      <c r="AE73" s="48"/>
      <c r="AF73" s="209"/>
      <c r="AG73" s="47" t="s">
        <v>315</v>
      </c>
      <c r="AH73" s="210" t="s">
        <v>316</v>
      </c>
      <c r="AI73" s="68" t="s">
        <v>333</v>
      </c>
      <c r="AJ73" s="170"/>
      <c r="AK73" s="170">
        <v>9</v>
      </c>
      <c r="AL73" s="170">
        <v>9</v>
      </c>
      <c r="AM73" s="170">
        <v>9</v>
      </c>
      <c r="AN73" s="170">
        <v>9</v>
      </c>
      <c r="AO73" s="170">
        <v>9</v>
      </c>
      <c r="AP73" s="170">
        <v>9</v>
      </c>
      <c r="AQ73" s="170">
        <v>9</v>
      </c>
      <c r="AR73" s="170">
        <v>9</v>
      </c>
      <c r="AS73" s="170">
        <v>9</v>
      </c>
      <c r="AT73" s="170"/>
      <c r="AU73" s="170"/>
      <c r="AV73" s="170">
        <f>+AK73*2</f>
        <v>18</v>
      </c>
      <c r="AW73" s="170">
        <f t="shared" ref="AW73:BD73" si="145">+AL73*2</f>
        <v>18</v>
      </c>
      <c r="AX73" s="170">
        <f t="shared" si="145"/>
        <v>18</v>
      </c>
      <c r="AY73" s="170">
        <f t="shared" si="145"/>
        <v>18</v>
      </c>
      <c r="AZ73" s="170">
        <f t="shared" si="145"/>
        <v>18</v>
      </c>
      <c r="BA73" s="170">
        <f t="shared" si="145"/>
        <v>18</v>
      </c>
      <c r="BB73" s="170">
        <f t="shared" si="145"/>
        <v>18</v>
      </c>
      <c r="BC73" s="170">
        <f t="shared" si="145"/>
        <v>18</v>
      </c>
      <c r="BD73" s="170">
        <f t="shared" si="145"/>
        <v>18</v>
      </c>
      <c r="BE73" s="170"/>
      <c r="BF73" s="260"/>
      <c r="BG73" s="206" t="s">
        <v>334</v>
      </c>
      <c r="BH73" s="68" t="s">
        <v>349</v>
      </c>
      <c r="BI73" s="48" t="s">
        <v>313</v>
      </c>
      <c r="BJ73" s="241"/>
      <c r="BK73" s="212">
        <f>+AK73*100000</f>
        <v>900000</v>
      </c>
      <c r="BL73" s="170">
        <f t="shared" ref="BL73:BS73" si="146">+AL73*100000</f>
        <v>900000</v>
      </c>
      <c r="BM73" s="170">
        <f t="shared" si="146"/>
        <v>900000</v>
      </c>
      <c r="BN73" s="170">
        <f t="shared" si="146"/>
        <v>900000</v>
      </c>
      <c r="BO73" s="170">
        <f t="shared" si="146"/>
        <v>900000</v>
      </c>
      <c r="BP73" s="170">
        <f t="shared" si="146"/>
        <v>900000</v>
      </c>
      <c r="BQ73" s="170">
        <f t="shared" si="146"/>
        <v>900000</v>
      </c>
      <c r="BR73" s="170">
        <f t="shared" si="146"/>
        <v>900000</v>
      </c>
      <c r="BS73" s="170">
        <f t="shared" si="146"/>
        <v>900000</v>
      </c>
      <c r="BT73" s="213">
        <f t="shared" si="139"/>
        <v>8100000</v>
      </c>
      <c r="BU73" s="242">
        <v>1</v>
      </c>
      <c r="BV73" s="48"/>
      <c r="BW73" s="48"/>
      <c r="BX73" s="243"/>
      <c r="BY73" s="212">
        <f>+AV73*100000</f>
        <v>1800000</v>
      </c>
      <c r="BZ73" s="170">
        <f t="shared" ref="BZ73:CG73" si="147">+AW73*100000</f>
        <v>1800000</v>
      </c>
      <c r="CA73" s="170">
        <f t="shared" si="147"/>
        <v>1800000</v>
      </c>
      <c r="CB73" s="170">
        <f t="shared" si="147"/>
        <v>1800000</v>
      </c>
      <c r="CC73" s="170">
        <f t="shared" si="147"/>
        <v>1800000</v>
      </c>
      <c r="CD73" s="170">
        <f t="shared" si="147"/>
        <v>1800000</v>
      </c>
      <c r="CE73" s="170">
        <f t="shared" si="147"/>
        <v>1800000</v>
      </c>
      <c r="CF73" s="170">
        <f t="shared" si="147"/>
        <v>1800000</v>
      </c>
      <c r="CG73" s="213">
        <f t="shared" si="147"/>
        <v>1800000</v>
      </c>
      <c r="CH73" s="212">
        <f>+BY73-BK73</f>
        <v>900000</v>
      </c>
      <c r="CI73" s="170">
        <f t="shared" ref="CI73:CP73" si="148">+BZ73-BL73</f>
        <v>900000</v>
      </c>
      <c r="CJ73" s="170">
        <f t="shared" si="148"/>
        <v>900000</v>
      </c>
      <c r="CK73" s="170">
        <f t="shared" si="148"/>
        <v>900000</v>
      </c>
      <c r="CL73" s="170">
        <f t="shared" si="148"/>
        <v>900000</v>
      </c>
      <c r="CM73" s="170">
        <f t="shared" si="148"/>
        <v>900000</v>
      </c>
      <c r="CN73" s="170">
        <f t="shared" si="148"/>
        <v>900000</v>
      </c>
      <c r="CO73" s="170">
        <f t="shared" si="148"/>
        <v>900000</v>
      </c>
      <c r="CP73" s="170">
        <f t="shared" si="148"/>
        <v>900000</v>
      </c>
      <c r="CQ73" s="213">
        <f t="shared" si="136"/>
        <v>8100000</v>
      </c>
      <c r="CR73" s="219"/>
      <c r="CS73" s="220">
        <v>14000</v>
      </c>
      <c r="CT73" s="220" t="s">
        <v>332</v>
      </c>
      <c r="CU73" s="210"/>
      <c r="CV73" s="210"/>
      <c r="CW73" s="210"/>
      <c r="CX73" s="210"/>
      <c r="CY73" s="221">
        <f>+CQ73-CS73*550</f>
        <v>400000</v>
      </c>
      <c r="CZ73" s="222"/>
      <c r="DA73" s="246"/>
      <c r="DB73" s="381"/>
      <c r="DC73" s="381"/>
      <c r="DD73" s="506"/>
      <c r="DE73" s="381"/>
    </row>
    <row r="74" spans="1:109" ht="26.1" customHeight="1" x14ac:dyDescent="0.25">
      <c r="A74" s="143" t="s">
        <v>70</v>
      </c>
      <c r="B74" s="144" t="s">
        <v>730</v>
      </c>
      <c r="C74" s="143" t="s">
        <v>70</v>
      </c>
      <c r="D74" s="144" t="s">
        <v>357</v>
      </c>
      <c r="E74" s="59" t="s">
        <v>1</v>
      </c>
      <c r="F74" s="145"/>
      <c r="G74" s="60"/>
      <c r="H74" s="61"/>
      <c r="I74" s="62"/>
      <c r="J74" s="62"/>
      <c r="K74" s="147" t="s">
        <v>259</v>
      </c>
      <c r="L74" s="148"/>
      <c r="M74" s="149"/>
      <c r="O74" s="143" t="s">
        <v>70</v>
      </c>
      <c r="P74" s="150"/>
      <c r="Q74" s="145"/>
      <c r="R74" s="145"/>
      <c r="S74" s="145"/>
      <c r="T74" s="145"/>
      <c r="U74" s="145"/>
      <c r="V74" s="145"/>
      <c r="W74" s="145"/>
      <c r="X74" s="145"/>
      <c r="Y74" s="145"/>
      <c r="Z74" s="145"/>
      <c r="AA74" s="145"/>
      <c r="AB74" s="145"/>
      <c r="AC74" s="145"/>
      <c r="AD74" s="145"/>
      <c r="AE74" s="145"/>
      <c r="AF74" s="151"/>
      <c r="AG74" s="150"/>
      <c r="AH74" s="145"/>
      <c r="AI74" s="145"/>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254"/>
      <c r="BG74" s="150"/>
      <c r="BH74" s="154" t="s">
        <v>357</v>
      </c>
      <c r="BI74" s="155"/>
      <c r="BJ74" s="156">
        <f t="shared" ref="BJ74:BS74" si="149">SUM(BJ75)</f>
        <v>0</v>
      </c>
      <c r="BK74" s="157">
        <f t="shared" si="149"/>
        <v>0</v>
      </c>
      <c r="BL74" s="152">
        <f t="shared" si="149"/>
        <v>0</v>
      </c>
      <c r="BM74" s="152">
        <f t="shared" si="149"/>
        <v>0</v>
      </c>
      <c r="BN74" s="152">
        <f t="shared" si="149"/>
        <v>0</v>
      </c>
      <c r="BO74" s="152">
        <f t="shared" si="149"/>
        <v>0</v>
      </c>
      <c r="BP74" s="152">
        <f t="shared" si="149"/>
        <v>0</v>
      </c>
      <c r="BQ74" s="152">
        <f t="shared" si="149"/>
        <v>0</v>
      </c>
      <c r="BR74" s="152">
        <f t="shared" si="149"/>
        <v>0</v>
      </c>
      <c r="BS74" s="152">
        <f t="shared" si="149"/>
        <v>0</v>
      </c>
      <c r="BT74" s="156">
        <f t="shared" si="139"/>
        <v>0</v>
      </c>
      <c r="BU74" s="158"/>
      <c r="BV74" s="145"/>
      <c r="BW74" s="145"/>
      <c r="BX74" s="159"/>
      <c r="BY74" s="157">
        <f t="shared" ref="BY74:CP74" si="150">SUM(BY75)</f>
        <v>3300000</v>
      </c>
      <c r="BZ74" s="152">
        <f t="shared" si="150"/>
        <v>3300000</v>
      </c>
      <c r="CA74" s="152">
        <f t="shared" si="150"/>
        <v>3300000</v>
      </c>
      <c r="CB74" s="152">
        <f t="shared" si="150"/>
        <v>0</v>
      </c>
      <c r="CC74" s="152">
        <f t="shared" si="150"/>
        <v>0</v>
      </c>
      <c r="CD74" s="152">
        <f t="shared" si="150"/>
        <v>0</v>
      </c>
      <c r="CE74" s="152">
        <f t="shared" si="150"/>
        <v>0</v>
      </c>
      <c r="CF74" s="152">
        <f t="shared" si="150"/>
        <v>0</v>
      </c>
      <c r="CG74" s="156">
        <f t="shared" si="150"/>
        <v>0</v>
      </c>
      <c r="CH74" s="157">
        <f t="shared" si="150"/>
        <v>3300000</v>
      </c>
      <c r="CI74" s="152">
        <f t="shared" si="150"/>
        <v>3300000</v>
      </c>
      <c r="CJ74" s="152">
        <f t="shared" si="150"/>
        <v>3300000</v>
      </c>
      <c r="CK74" s="152">
        <f t="shared" si="150"/>
        <v>0</v>
      </c>
      <c r="CL74" s="152">
        <f t="shared" si="150"/>
        <v>0</v>
      </c>
      <c r="CM74" s="152">
        <f t="shared" si="150"/>
        <v>0</v>
      </c>
      <c r="CN74" s="152">
        <f t="shared" si="150"/>
        <v>0</v>
      </c>
      <c r="CO74" s="152">
        <f t="shared" si="150"/>
        <v>0</v>
      </c>
      <c r="CP74" s="152">
        <f t="shared" si="150"/>
        <v>0</v>
      </c>
      <c r="CQ74" s="156">
        <f t="shared" ref="CQ74:CQ82" si="151">SUM(CH74:CP74)</f>
        <v>9900000</v>
      </c>
      <c r="CR74" s="158"/>
      <c r="CS74" s="160">
        <f>SUM(CS75)</f>
        <v>18000</v>
      </c>
      <c r="CT74" s="145"/>
      <c r="CU74" s="145"/>
      <c r="CV74" s="145"/>
      <c r="CW74" s="145"/>
      <c r="CX74" s="145"/>
      <c r="CY74" s="161">
        <f>SUM(CY75)</f>
        <v>0</v>
      </c>
      <c r="CZ74" s="151"/>
      <c r="DA74" s="162"/>
      <c r="DB74" s="381"/>
      <c r="DC74" s="381"/>
      <c r="DD74" s="506"/>
      <c r="DE74" s="381"/>
    </row>
    <row r="75" spans="1:109" ht="26.1" customHeight="1" x14ac:dyDescent="0.25">
      <c r="A75" s="312" t="s">
        <v>71</v>
      </c>
      <c r="B75" s="205" t="s">
        <v>731</v>
      </c>
      <c r="C75" s="422" t="s">
        <v>71</v>
      </c>
      <c r="D75" s="205" t="s">
        <v>357</v>
      </c>
      <c r="E75" s="423" t="s">
        <v>2</v>
      </c>
      <c r="F75" s="424" t="s">
        <v>403</v>
      </c>
      <c r="G75" s="424" t="s">
        <v>400</v>
      </c>
      <c r="H75" s="48" t="s">
        <v>125</v>
      </c>
      <c r="I75" s="49" t="s">
        <v>245</v>
      </c>
      <c r="J75" s="49" t="s">
        <v>230</v>
      </c>
      <c r="K75" s="206"/>
      <c r="L75" s="207"/>
      <c r="M75" s="208"/>
      <c r="O75" s="312" t="s">
        <v>71</v>
      </c>
      <c r="P75" s="332"/>
      <c r="Q75" s="77" t="s">
        <v>400</v>
      </c>
      <c r="R75" s="255"/>
      <c r="S75" s="255"/>
      <c r="T75" s="255"/>
      <c r="U75" s="255"/>
      <c r="V75" s="255"/>
      <c r="W75" s="255"/>
      <c r="X75" s="255"/>
      <c r="Y75" s="255"/>
      <c r="Z75" s="255"/>
      <c r="AA75" s="255"/>
      <c r="AB75" s="255"/>
      <c r="AC75" s="255"/>
      <c r="AD75" s="255"/>
      <c r="AE75" s="255"/>
      <c r="AF75" s="333"/>
      <c r="AG75" s="332"/>
      <c r="AH75" s="255"/>
      <c r="AI75" s="255"/>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334"/>
      <c r="BG75" s="332"/>
      <c r="BH75" s="68" t="s">
        <v>349</v>
      </c>
      <c r="BI75" s="335" t="s">
        <v>323</v>
      </c>
      <c r="BJ75" s="336"/>
      <c r="BK75" s="337">
        <v>0</v>
      </c>
      <c r="BL75" s="272">
        <v>0</v>
      </c>
      <c r="BM75" s="272">
        <v>0</v>
      </c>
      <c r="BN75" s="272">
        <v>0</v>
      </c>
      <c r="BO75" s="272">
        <v>0</v>
      </c>
      <c r="BP75" s="272">
        <v>0</v>
      </c>
      <c r="BQ75" s="272">
        <v>0</v>
      </c>
      <c r="BR75" s="272">
        <v>0</v>
      </c>
      <c r="BS75" s="272">
        <v>0</v>
      </c>
      <c r="BT75" s="213">
        <f t="shared" si="139"/>
        <v>0</v>
      </c>
      <c r="BU75" s="338"/>
      <c r="BV75" s="255"/>
      <c r="BW75" s="255"/>
      <c r="BX75" s="336"/>
      <c r="BY75" s="337">
        <f>24000*0.25*550</f>
        <v>3300000</v>
      </c>
      <c r="BZ75" s="340">
        <f>24000*0.25*550</f>
        <v>3300000</v>
      </c>
      <c r="CA75" s="340">
        <f>24000*0.25*550</f>
        <v>3300000</v>
      </c>
      <c r="CB75" s="272">
        <v>0</v>
      </c>
      <c r="CC75" s="272">
        <v>0</v>
      </c>
      <c r="CD75" s="272">
        <v>0</v>
      </c>
      <c r="CE75" s="272">
        <v>0</v>
      </c>
      <c r="CF75" s="272">
        <v>0</v>
      </c>
      <c r="CG75" s="339">
        <v>0</v>
      </c>
      <c r="CH75" s="217">
        <f t="shared" ref="CH75:CP75" si="152">+BY75-BK75</f>
        <v>3300000</v>
      </c>
      <c r="CI75" s="170">
        <f t="shared" si="152"/>
        <v>3300000</v>
      </c>
      <c r="CJ75" s="170">
        <f t="shared" si="152"/>
        <v>3300000</v>
      </c>
      <c r="CK75" s="170">
        <f t="shared" si="152"/>
        <v>0</v>
      </c>
      <c r="CL75" s="170">
        <f t="shared" si="152"/>
        <v>0</v>
      </c>
      <c r="CM75" s="170">
        <f t="shared" si="152"/>
        <v>0</v>
      </c>
      <c r="CN75" s="170">
        <f t="shared" si="152"/>
        <v>0</v>
      </c>
      <c r="CO75" s="170">
        <f t="shared" si="152"/>
        <v>0</v>
      </c>
      <c r="CP75" s="170">
        <f t="shared" si="152"/>
        <v>0</v>
      </c>
      <c r="CQ75" s="218">
        <f>SUM(CH75:CP75)</f>
        <v>9900000</v>
      </c>
      <c r="CR75" s="338"/>
      <c r="CS75" s="220">
        <f>24000*3*1/4</f>
        <v>18000</v>
      </c>
      <c r="CT75" s="255" t="s">
        <v>351</v>
      </c>
      <c r="CU75" s="255"/>
      <c r="CV75" s="255"/>
      <c r="CW75" s="255"/>
      <c r="CX75" s="255"/>
      <c r="CY75" s="221">
        <f>+CQ75-CS75*550</f>
        <v>0</v>
      </c>
      <c r="CZ75" s="333"/>
      <c r="DA75" s="246"/>
      <c r="DB75" s="381"/>
      <c r="DC75" s="381"/>
      <c r="DD75" s="506"/>
      <c r="DE75" s="381"/>
    </row>
    <row r="76" spans="1:109" ht="26.1" customHeight="1" x14ac:dyDescent="0.25">
      <c r="A76" s="143" t="s">
        <v>72</v>
      </c>
      <c r="B76" s="144" t="s">
        <v>732</v>
      </c>
      <c r="C76" s="143" t="s">
        <v>72</v>
      </c>
      <c r="D76" s="144" t="s">
        <v>356</v>
      </c>
      <c r="E76" s="59" t="s">
        <v>2</v>
      </c>
      <c r="F76" s="145"/>
      <c r="G76" s="60"/>
      <c r="H76" s="61"/>
      <c r="I76" s="62"/>
      <c r="J76" s="62"/>
      <c r="K76" s="147" t="s">
        <v>259</v>
      </c>
      <c r="L76" s="148"/>
      <c r="M76" s="149"/>
      <c r="O76" s="143" t="s">
        <v>72</v>
      </c>
      <c r="P76" s="150"/>
      <c r="Q76" s="145"/>
      <c r="R76" s="145"/>
      <c r="S76" s="145"/>
      <c r="T76" s="145"/>
      <c r="U76" s="145"/>
      <c r="V76" s="145"/>
      <c r="W76" s="145"/>
      <c r="X76" s="145"/>
      <c r="Y76" s="145"/>
      <c r="Z76" s="145"/>
      <c r="AA76" s="145"/>
      <c r="AB76" s="145"/>
      <c r="AC76" s="145"/>
      <c r="AD76" s="145"/>
      <c r="AE76" s="145"/>
      <c r="AF76" s="151"/>
      <c r="AG76" s="150"/>
      <c r="AH76" s="145"/>
      <c r="AI76" s="145"/>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254"/>
      <c r="BG76" s="150"/>
      <c r="BH76" s="154" t="s">
        <v>356</v>
      </c>
      <c r="BI76" s="155"/>
      <c r="BJ76" s="156">
        <f t="shared" ref="BJ76:BS76" si="153">SUM(BJ77)</f>
        <v>0</v>
      </c>
      <c r="BK76" s="157">
        <f t="shared" si="153"/>
        <v>0</v>
      </c>
      <c r="BL76" s="152">
        <f t="shared" si="153"/>
        <v>0</v>
      </c>
      <c r="BM76" s="152">
        <f t="shared" si="153"/>
        <v>0</v>
      </c>
      <c r="BN76" s="152">
        <f t="shared" si="153"/>
        <v>0</v>
      </c>
      <c r="BO76" s="152">
        <f t="shared" si="153"/>
        <v>0</v>
      </c>
      <c r="BP76" s="152">
        <f t="shared" si="153"/>
        <v>0</v>
      </c>
      <c r="BQ76" s="152">
        <f t="shared" si="153"/>
        <v>0</v>
      </c>
      <c r="BR76" s="152">
        <f t="shared" si="153"/>
        <v>0</v>
      </c>
      <c r="BS76" s="152">
        <f t="shared" si="153"/>
        <v>0</v>
      </c>
      <c r="BT76" s="156">
        <f t="shared" si="139"/>
        <v>0</v>
      </c>
      <c r="BU76" s="158"/>
      <c r="BV76" s="145"/>
      <c r="BW76" s="145"/>
      <c r="BX76" s="159"/>
      <c r="BY76" s="157">
        <f t="shared" ref="BY76:CP76" si="154">SUM(BY77)</f>
        <v>550000</v>
      </c>
      <c r="BZ76" s="152">
        <f t="shared" si="154"/>
        <v>550000</v>
      </c>
      <c r="CA76" s="152">
        <f t="shared" si="154"/>
        <v>550000</v>
      </c>
      <c r="CB76" s="152">
        <f t="shared" si="154"/>
        <v>550000</v>
      </c>
      <c r="CC76" s="152">
        <f t="shared" si="154"/>
        <v>550000</v>
      </c>
      <c r="CD76" s="152">
        <f t="shared" si="154"/>
        <v>550000</v>
      </c>
      <c r="CE76" s="152">
        <f t="shared" si="154"/>
        <v>550000</v>
      </c>
      <c r="CF76" s="152">
        <f t="shared" si="154"/>
        <v>550000</v>
      </c>
      <c r="CG76" s="156">
        <f t="shared" si="154"/>
        <v>550000</v>
      </c>
      <c r="CH76" s="157">
        <f t="shared" si="154"/>
        <v>550000</v>
      </c>
      <c r="CI76" s="152">
        <f t="shared" si="154"/>
        <v>550000</v>
      </c>
      <c r="CJ76" s="152">
        <f t="shared" si="154"/>
        <v>550000</v>
      </c>
      <c r="CK76" s="152">
        <f t="shared" si="154"/>
        <v>550000</v>
      </c>
      <c r="CL76" s="152">
        <f t="shared" si="154"/>
        <v>550000</v>
      </c>
      <c r="CM76" s="152">
        <f t="shared" si="154"/>
        <v>550000</v>
      </c>
      <c r="CN76" s="152">
        <f t="shared" si="154"/>
        <v>550000</v>
      </c>
      <c r="CO76" s="152">
        <f t="shared" si="154"/>
        <v>550000</v>
      </c>
      <c r="CP76" s="152">
        <f t="shared" si="154"/>
        <v>550000</v>
      </c>
      <c r="CQ76" s="156">
        <f t="shared" si="151"/>
        <v>4950000</v>
      </c>
      <c r="CR76" s="158"/>
      <c r="CS76" s="160">
        <f>SUM(CS77)</f>
        <v>0</v>
      </c>
      <c r="CT76" s="145"/>
      <c r="CU76" s="145"/>
      <c r="CV76" s="145"/>
      <c r="CW76" s="145"/>
      <c r="CX76" s="145"/>
      <c r="CY76" s="161">
        <f>SUM(CY77)</f>
        <v>4950000</v>
      </c>
      <c r="CZ76" s="151"/>
      <c r="DA76" s="162"/>
      <c r="DB76" s="381"/>
      <c r="DC76" s="381"/>
      <c r="DD76" s="506"/>
      <c r="DE76" s="381"/>
    </row>
    <row r="77" spans="1:109" ht="26.1" customHeight="1" x14ac:dyDescent="0.25">
      <c r="A77" s="204" t="s">
        <v>73</v>
      </c>
      <c r="B77" s="205" t="s">
        <v>733</v>
      </c>
      <c r="C77" s="204" t="s">
        <v>73</v>
      </c>
      <c r="D77" s="205" t="s">
        <v>356</v>
      </c>
      <c r="E77" s="47" t="s">
        <v>2</v>
      </c>
      <c r="F77" s="48" t="s">
        <v>403</v>
      </c>
      <c r="G77" s="48" t="s">
        <v>393</v>
      </c>
      <c r="H77" s="48" t="s">
        <v>126</v>
      </c>
      <c r="I77" s="49"/>
      <c r="J77" s="49" t="s">
        <v>230</v>
      </c>
      <c r="K77" s="206"/>
      <c r="L77" s="207"/>
      <c r="M77" s="208"/>
      <c r="O77" s="204" t="s">
        <v>73</v>
      </c>
      <c r="P77" s="47" t="s">
        <v>3</v>
      </c>
      <c r="Q77" s="48" t="s">
        <v>403</v>
      </c>
      <c r="R77" s="48" t="s">
        <v>314</v>
      </c>
      <c r="S77" s="48" t="s">
        <v>314</v>
      </c>
      <c r="T77" s="48"/>
      <c r="U77" s="48" t="s">
        <v>307</v>
      </c>
      <c r="V77" s="48"/>
      <c r="W77" s="48"/>
      <c r="X77" s="48" t="s">
        <v>314</v>
      </c>
      <c r="Y77" s="48"/>
      <c r="Z77" s="48"/>
      <c r="AA77" s="48"/>
      <c r="AB77" s="48"/>
      <c r="AC77" s="48"/>
      <c r="AD77" s="48"/>
      <c r="AE77" s="48" t="s">
        <v>314</v>
      </c>
      <c r="AF77" s="209"/>
      <c r="AG77" s="47" t="s">
        <v>315</v>
      </c>
      <c r="AH77" s="210" t="s">
        <v>319</v>
      </c>
      <c r="AI77" s="68" t="s">
        <v>341</v>
      </c>
      <c r="AJ77" s="170"/>
      <c r="AK77" s="170">
        <v>0</v>
      </c>
      <c r="AL77" s="170">
        <v>0</v>
      </c>
      <c r="AM77" s="170">
        <v>0</v>
      </c>
      <c r="AN77" s="170">
        <v>0</v>
      </c>
      <c r="AO77" s="170">
        <v>0</v>
      </c>
      <c r="AP77" s="170">
        <v>0</v>
      </c>
      <c r="AQ77" s="170">
        <v>0</v>
      </c>
      <c r="AR77" s="170">
        <v>0</v>
      </c>
      <c r="AS77" s="170">
        <v>0</v>
      </c>
      <c r="AT77" s="170"/>
      <c r="AU77" s="170"/>
      <c r="AV77" s="170">
        <v>6</v>
      </c>
      <c r="AW77" s="170">
        <v>6</v>
      </c>
      <c r="AX77" s="170">
        <v>6</v>
      </c>
      <c r="AY77" s="170">
        <v>6</v>
      </c>
      <c r="AZ77" s="170">
        <v>6</v>
      </c>
      <c r="BA77" s="170">
        <v>6</v>
      </c>
      <c r="BB77" s="170">
        <v>6</v>
      </c>
      <c r="BC77" s="170">
        <v>6</v>
      </c>
      <c r="BD77" s="170">
        <v>6</v>
      </c>
      <c r="BE77" s="170"/>
      <c r="BF77" s="260"/>
      <c r="BG77" s="206"/>
      <c r="BH77" s="68" t="s">
        <v>321</v>
      </c>
      <c r="BI77" s="48" t="s">
        <v>313</v>
      </c>
      <c r="BJ77" s="241"/>
      <c r="BK77" s="212">
        <v>0</v>
      </c>
      <c r="BL77" s="170">
        <v>0</v>
      </c>
      <c r="BM77" s="170">
        <v>0</v>
      </c>
      <c r="BN77" s="170">
        <v>0</v>
      </c>
      <c r="BO77" s="170">
        <v>0</v>
      </c>
      <c r="BP77" s="170">
        <v>0</v>
      </c>
      <c r="BQ77" s="170">
        <v>0</v>
      </c>
      <c r="BR77" s="170">
        <v>0</v>
      </c>
      <c r="BS77" s="170">
        <v>0</v>
      </c>
      <c r="BT77" s="213">
        <f t="shared" si="139"/>
        <v>0</v>
      </c>
      <c r="BU77" s="245"/>
      <c r="BV77" s="48"/>
      <c r="BW77" s="48"/>
      <c r="BX77" s="243"/>
      <c r="BY77" s="212">
        <f>1000*550</f>
        <v>550000</v>
      </c>
      <c r="BZ77" s="170">
        <f t="shared" ref="BZ77:CG77" si="155">1000*550</f>
        <v>550000</v>
      </c>
      <c r="CA77" s="170">
        <f t="shared" si="155"/>
        <v>550000</v>
      </c>
      <c r="CB77" s="170">
        <f t="shared" si="155"/>
        <v>550000</v>
      </c>
      <c r="CC77" s="170">
        <f t="shared" si="155"/>
        <v>550000</v>
      </c>
      <c r="CD77" s="170">
        <f t="shared" si="155"/>
        <v>550000</v>
      </c>
      <c r="CE77" s="170">
        <f t="shared" si="155"/>
        <v>550000</v>
      </c>
      <c r="CF77" s="170">
        <f t="shared" si="155"/>
        <v>550000</v>
      </c>
      <c r="CG77" s="213">
        <f t="shared" si="155"/>
        <v>550000</v>
      </c>
      <c r="CH77" s="217">
        <f t="shared" ref="CH77:CP77" si="156">+BY77-BK77</f>
        <v>550000</v>
      </c>
      <c r="CI77" s="170">
        <f t="shared" si="156"/>
        <v>550000</v>
      </c>
      <c r="CJ77" s="170">
        <f t="shared" si="156"/>
        <v>550000</v>
      </c>
      <c r="CK77" s="170">
        <f t="shared" si="156"/>
        <v>550000</v>
      </c>
      <c r="CL77" s="170">
        <f t="shared" si="156"/>
        <v>550000</v>
      </c>
      <c r="CM77" s="170">
        <f t="shared" si="156"/>
        <v>550000</v>
      </c>
      <c r="CN77" s="170">
        <f t="shared" si="156"/>
        <v>550000</v>
      </c>
      <c r="CO77" s="170">
        <f t="shared" si="156"/>
        <v>550000</v>
      </c>
      <c r="CP77" s="170">
        <f t="shared" si="156"/>
        <v>550000</v>
      </c>
      <c r="CQ77" s="218">
        <f>SUM(CH77:CP77)</f>
        <v>4950000</v>
      </c>
      <c r="CR77" s="219"/>
      <c r="CS77" s="220"/>
      <c r="CT77" s="220"/>
      <c r="CU77" s="210"/>
      <c r="CV77" s="210"/>
      <c r="CW77" s="210"/>
      <c r="CX77" s="210"/>
      <c r="CY77" s="221">
        <f>+CQ77-CS77*550</f>
        <v>4950000</v>
      </c>
      <c r="CZ77" s="222"/>
      <c r="DA77" s="246"/>
      <c r="DB77" s="381"/>
      <c r="DC77" s="381"/>
      <c r="DD77" s="506"/>
      <c r="DE77" s="381"/>
    </row>
    <row r="78" spans="1:109" ht="26.1" customHeight="1" x14ac:dyDescent="0.25">
      <c r="A78" s="143" t="s">
        <v>74</v>
      </c>
      <c r="B78" s="144" t="s">
        <v>734</v>
      </c>
      <c r="C78" s="143" t="s">
        <v>74</v>
      </c>
      <c r="D78" s="144" t="s">
        <v>356</v>
      </c>
      <c r="E78" s="59" t="s">
        <v>491</v>
      </c>
      <c r="F78" s="145"/>
      <c r="G78" s="60"/>
      <c r="H78" s="61"/>
      <c r="I78" s="62"/>
      <c r="J78" s="62"/>
      <c r="K78" s="147" t="s">
        <v>259</v>
      </c>
      <c r="L78" s="148"/>
      <c r="M78" s="149"/>
      <c r="O78" s="143" t="s">
        <v>74</v>
      </c>
      <c r="P78" s="150"/>
      <c r="Q78" s="145"/>
      <c r="R78" s="145"/>
      <c r="S78" s="145"/>
      <c r="T78" s="145"/>
      <c r="U78" s="145"/>
      <c r="V78" s="145"/>
      <c r="W78" s="145"/>
      <c r="X78" s="145"/>
      <c r="Y78" s="145"/>
      <c r="Z78" s="145"/>
      <c r="AA78" s="145"/>
      <c r="AB78" s="145"/>
      <c r="AC78" s="145"/>
      <c r="AD78" s="145"/>
      <c r="AE78" s="145"/>
      <c r="AF78" s="151"/>
      <c r="AG78" s="150"/>
      <c r="AH78" s="145"/>
      <c r="AI78" s="145"/>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254"/>
      <c r="BG78" s="150"/>
      <c r="BH78" s="154" t="s">
        <v>356</v>
      </c>
      <c r="BI78" s="155"/>
      <c r="BJ78" s="156">
        <f t="shared" ref="BJ78:BS78" si="157">SUM(BJ79:BJ81)</f>
        <v>4200000</v>
      </c>
      <c r="BK78" s="157">
        <f t="shared" si="157"/>
        <v>130150000</v>
      </c>
      <c r="BL78" s="152">
        <f t="shared" si="157"/>
        <v>131950000</v>
      </c>
      <c r="BM78" s="152">
        <f t="shared" si="157"/>
        <v>100816666.66666669</v>
      </c>
      <c r="BN78" s="152">
        <f t="shared" si="157"/>
        <v>71483333.333333299</v>
      </c>
      <c r="BO78" s="152">
        <f t="shared" si="157"/>
        <v>41250000</v>
      </c>
      <c r="BP78" s="152">
        <f t="shared" si="157"/>
        <v>42150000</v>
      </c>
      <c r="BQ78" s="152">
        <f t="shared" si="157"/>
        <v>41250000</v>
      </c>
      <c r="BR78" s="152">
        <f t="shared" si="157"/>
        <v>42150000</v>
      </c>
      <c r="BS78" s="152">
        <f t="shared" si="157"/>
        <v>41250000</v>
      </c>
      <c r="BT78" s="156">
        <f t="shared" si="139"/>
        <v>642450000</v>
      </c>
      <c r="BU78" s="158"/>
      <c r="BV78" s="145"/>
      <c r="BW78" s="145"/>
      <c r="BX78" s="159"/>
      <c r="BY78" s="157">
        <f t="shared" ref="BY78:CP78" si="158">SUM(BY79:BY81)</f>
        <v>410730000</v>
      </c>
      <c r="BZ78" s="152">
        <f t="shared" si="158"/>
        <v>533350000</v>
      </c>
      <c r="CA78" s="152">
        <f t="shared" si="158"/>
        <v>253586666.66666669</v>
      </c>
      <c r="CB78" s="152">
        <f t="shared" si="158"/>
        <v>117183333.3333333</v>
      </c>
      <c r="CC78" s="152">
        <f t="shared" si="158"/>
        <v>41250000</v>
      </c>
      <c r="CD78" s="152">
        <f t="shared" si="158"/>
        <v>52650000</v>
      </c>
      <c r="CE78" s="152">
        <f t="shared" si="158"/>
        <v>52650000</v>
      </c>
      <c r="CF78" s="152">
        <f t="shared" si="158"/>
        <v>52650000</v>
      </c>
      <c r="CG78" s="156">
        <f t="shared" si="158"/>
        <v>52650000</v>
      </c>
      <c r="CH78" s="157">
        <f t="shared" si="158"/>
        <v>280580000</v>
      </c>
      <c r="CI78" s="152">
        <f t="shared" si="158"/>
        <v>401400000</v>
      </c>
      <c r="CJ78" s="152">
        <f t="shared" si="158"/>
        <v>152770000</v>
      </c>
      <c r="CK78" s="152">
        <f t="shared" si="158"/>
        <v>45700000</v>
      </c>
      <c r="CL78" s="152">
        <f t="shared" si="158"/>
        <v>0</v>
      </c>
      <c r="CM78" s="152">
        <f t="shared" si="158"/>
        <v>10500000</v>
      </c>
      <c r="CN78" s="152">
        <f t="shared" si="158"/>
        <v>11400000</v>
      </c>
      <c r="CO78" s="152">
        <f t="shared" si="158"/>
        <v>10500000</v>
      </c>
      <c r="CP78" s="152">
        <f t="shared" si="158"/>
        <v>11400000</v>
      </c>
      <c r="CQ78" s="156">
        <f t="shared" si="151"/>
        <v>924250000</v>
      </c>
      <c r="CR78" s="158"/>
      <c r="CS78" s="160">
        <f>SUM(CS79:CS81)</f>
        <v>1340000</v>
      </c>
      <c r="CT78" s="145"/>
      <c r="CU78" s="145"/>
      <c r="CV78" s="145"/>
      <c r="CW78" s="145"/>
      <c r="CX78" s="145"/>
      <c r="CY78" s="161">
        <f>SUM(CY79:CY81)</f>
        <v>187250000</v>
      </c>
      <c r="CZ78" s="151"/>
      <c r="DA78" s="162"/>
      <c r="DB78" s="381"/>
      <c r="DC78" s="381"/>
      <c r="DD78" s="506"/>
      <c r="DE78" s="381"/>
    </row>
    <row r="79" spans="1:109" ht="26.1" customHeight="1" x14ac:dyDescent="0.25">
      <c r="A79" s="204" t="s">
        <v>75</v>
      </c>
      <c r="B79" s="205" t="s">
        <v>735</v>
      </c>
      <c r="C79" s="204" t="s">
        <v>75</v>
      </c>
      <c r="D79" s="205" t="s">
        <v>356</v>
      </c>
      <c r="E79" s="47" t="s">
        <v>6</v>
      </c>
      <c r="F79" s="335" t="s">
        <v>431</v>
      </c>
      <c r="G79" s="48" t="s">
        <v>76</v>
      </c>
      <c r="H79" s="50" t="s">
        <v>127</v>
      </c>
      <c r="I79" s="49"/>
      <c r="J79" s="49" t="s">
        <v>229</v>
      </c>
      <c r="K79" s="206"/>
      <c r="L79" s="207"/>
      <c r="M79" s="208"/>
      <c r="O79" s="204" t="s">
        <v>75</v>
      </c>
      <c r="P79" s="47" t="s">
        <v>6</v>
      </c>
      <c r="Q79" s="48" t="s">
        <v>76</v>
      </c>
      <c r="R79" s="50"/>
      <c r="S79" s="50" t="s">
        <v>314</v>
      </c>
      <c r="T79" s="50"/>
      <c r="U79" s="50" t="s">
        <v>314</v>
      </c>
      <c r="V79" s="50"/>
      <c r="W79" s="50"/>
      <c r="X79" s="50" t="s">
        <v>314</v>
      </c>
      <c r="Y79" s="50"/>
      <c r="Z79" s="50"/>
      <c r="AA79" s="50"/>
      <c r="AB79" s="50"/>
      <c r="AC79" s="50"/>
      <c r="AD79" s="50"/>
      <c r="AE79" s="50" t="s">
        <v>307</v>
      </c>
      <c r="AF79" s="259" t="s">
        <v>314</v>
      </c>
      <c r="AG79" s="47" t="s">
        <v>315</v>
      </c>
      <c r="AH79" s="210" t="s">
        <v>319</v>
      </c>
      <c r="AI79" s="68" t="s">
        <v>422</v>
      </c>
      <c r="AJ79" s="170"/>
      <c r="AK79" s="170">
        <v>0</v>
      </c>
      <c r="AL79" s="170">
        <v>0</v>
      </c>
      <c r="AM79" s="170">
        <v>0</v>
      </c>
      <c r="AN79" s="170">
        <v>0.5</v>
      </c>
      <c r="AO79" s="170">
        <v>0</v>
      </c>
      <c r="AP79" s="170">
        <v>0</v>
      </c>
      <c r="AQ79" s="170">
        <v>0</v>
      </c>
      <c r="AR79" s="170">
        <v>0</v>
      </c>
      <c r="AS79" s="170">
        <v>0</v>
      </c>
      <c r="AT79" s="170"/>
      <c r="AU79" s="170"/>
      <c r="AV79" s="170">
        <v>0</v>
      </c>
      <c r="AW79" s="170">
        <v>0</v>
      </c>
      <c r="AX79" s="170">
        <v>0</v>
      </c>
      <c r="AY79" s="170">
        <v>1</v>
      </c>
      <c r="AZ79" s="170">
        <v>0</v>
      </c>
      <c r="BA79" s="170">
        <v>0</v>
      </c>
      <c r="BB79" s="170">
        <v>0</v>
      </c>
      <c r="BC79" s="170">
        <v>0</v>
      </c>
      <c r="BD79" s="170">
        <v>0</v>
      </c>
      <c r="BE79" s="170"/>
      <c r="BF79" s="170"/>
      <c r="BG79" s="206" t="s">
        <v>330</v>
      </c>
      <c r="BH79" s="257" t="s">
        <v>423</v>
      </c>
      <c r="BI79" s="48" t="s">
        <v>323</v>
      </c>
      <c r="BJ79" s="211"/>
      <c r="BK79" s="212">
        <f>75000*550+480000/3*550</f>
        <v>129250000</v>
      </c>
      <c r="BL79" s="170">
        <f>75000*550+480000/3*550</f>
        <v>129250000</v>
      </c>
      <c r="BM79" s="170">
        <f>75000*550+480000/3*0.666666666666667*550</f>
        <v>99916666.666666687</v>
      </c>
      <c r="BN79" s="170">
        <f>75000*550+480000/3*0.333333333333333*550</f>
        <v>70583333.333333299</v>
      </c>
      <c r="BO79" s="170">
        <f>75000*550</f>
        <v>41250000</v>
      </c>
      <c r="BP79" s="170">
        <f>75000*550</f>
        <v>41250000</v>
      </c>
      <c r="BQ79" s="170">
        <f>75000*550</f>
        <v>41250000</v>
      </c>
      <c r="BR79" s="170">
        <f>75000*550</f>
        <v>41250000</v>
      </c>
      <c r="BS79" s="170">
        <f>75000*550</f>
        <v>41250000</v>
      </c>
      <c r="BT79" s="213">
        <f t="shared" si="139"/>
        <v>635250000</v>
      </c>
      <c r="BU79" s="330">
        <f>75000/555000</f>
        <v>0.13513513513513514</v>
      </c>
      <c r="BV79" s="48" t="s">
        <v>424</v>
      </c>
      <c r="BW79" s="341">
        <f>480000/555000</f>
        <v>0.86486486486486491</v>
      </c>
      <c r="BX79" s="216" t="s">
        <v>507</v>
      </c>
      <c r="BY79" s="212">
        <f>75000*550+480000/3*550+CS79*0.3*550</f>
        <v>311080000</v>
      </c>
      <c r="BZ79" s="170">
        <f>75000*550+480000/3*550+CS79*0.5*550</f>
        <v>432300000</v>
      </c>
      <c r="CA79" s="170">
        <f>75000*550+480000/3*0.666666666666667*550+CS79*0.2*550</f>
        <v>221136666.66666669</v>
      </c>
      <c r="CB79" s="170">
        <f>75000*550+480000/3*0.333333333333333*550</f>
        <v>70583333.333333299</v>
      </c>
      <c r="CC79" s="170">
        <f>75000*550</f>
        <v>41250000</v>
      </c>
      <c r="CD79" s="170">
        <f>75000*550</f>
        <v>41250000</v>
      </c>
      <c r="CE79" s="170">
        <f>75000*550</f>
        <v>41250000</v>
      </c>
      <c r="CF79" s="170">
        <f>75000*550</f>
        <v>41250000</v>
      </c>
      <c r="CG79" s="213">
        <f>75000*550</f>
        <v>41250000</v>
      </c>
      <c r="CH79" s="217">
        <f t="shared" ref="CH79:CI81" si="159">+BY79-BK79</f>
        <v>181830000</v>
      </c>
      <c r="CI79" s="170">
        <f t="shared" si="159"/>
        <v>303050000</v>
      </c>
      <c r="CJ79" s="170">
        <f t="shared" ref="CJ79:CP80" si="160">+CA79-BM79</f>
        <v>121220000</v>
      </c>
      <c r="CK79" s="170">
        <f t="shared" si="160"/>
        <v>0</v>
      </c>
      <c r="CL79" s="170">
        <f t="shared" si="160"/>
        <v>0</v>
      </c>
      <c r="CM79" s="170">
        <f t="shared" si="160"/>
        <v>0</v>
      </c>
      <c r="CN79" s="170">
        <f t="shared" si="160"/>
        <v>0</v>
      </c>
      <c r="CO79" s="170">
        <f t="shared" si="160"/>
        <v>0</v>
      </c>
      <c r="CP79" s="170">
        <f t="shared" si="160"/>
        <v>0</v>
      </c>
      <c r="CQ79" s="218">
        <f>SUM(CH79:CP79)</f>
        <v>606100000</v>
      </c>
      <c r="CR79" s="219"/>
      <c r="CS79" s="220">
        <f>135000+967000</f>
        <v>1102000</v>
      </c>
      <c r="CT79" s="220" t="s">
        <v>426</v>
      </c>
      <c r="CU79" s="210"/>
      <c r="CV79" s="210"/>
      <c r="CW79" s="210"/>
      <c r="CX79" s="210"/>
      <c r="CY79" s="221">
        <f>+CQ79-CS79*550</f>
        <v>0</v>
      </c>
      <c r="CZ79" s="222"/>
      <c r="DA79" s="248"/>
      <c r="DB79" s="381"/>
      <c r="DC79" s="381"/>
      <c r="DD79" s="506"/>
      <c r="DE79" s="381"/>
    </row>
    <row r="80" spans="1:109" ht="26.1" customHeight="1" x14ac:dyDescent="0.25">
      <c r="A80" s="204"/>
      <c r="B80" s="205" t="s">
        <v>736</v>
      </c>
      <c r="C80" s="204" t="s">
        <v>433</v>
      </c>
      <c r="D80" s="205"/>
      <c r="E80" s="47" t="s">
        <v>289</v>
      </c>
      <c r="F80" s="50" t="s">
        <v>659</v>
      </c>
      <c r="G80" s="48" t="s">
        <v>427</v>
      </c>
      <c r="H80" s="50" t="s">
        <v>661</v>
      </c>
      <c r="I80" s="49"/>
      <c r="J80" s="49"/>
      <c r="K80" s="206"/>
      <c r="L80" s="207"/>
      <c r="M80" s="208"/>
      <c r="O80" s="204" t="s">
        <v>433</v>
      </c>
      <c r="P80" s="47" t="s">
        <v>289</v>
      </c>
      <c r="Q80" s="48" t="s">
        <v>427</v>
      </c>
      <c r="R80" s="50"/>
      <c r="S80" s="50" t="s">
        <v>314</v>
      </c>
      <c r="T80" s="50"/>
      <c r="U80" s="50" t="s">
        <v>314</v>
      </c>
      <c r="V80" s="50"/>
      <c r="W80" s="50"/>
      <c r="X80" s="50" t="s">
        <v>314</v>
      </c>
      <c r="Y80" s="50"/>
      <c r="Z80" s="50"/>
      <c r="AA80" s="50"/>
      <c r="AB80" s="50"/>
      <c r="AC80" s="50"/>
      <c r="AD80" s="50"/>
      <c r="AE80" s="50" t="s">
        <v>307</v>
      </c>
      <c r="AF80" s="259" t="s">
        <v>314</v>
      </c>
      <c r="AG80" s="47" t="s">
        <v>315</v>
      </c>
      <c r="AH80" s="210" t="s">
        <v>319</v>
      </c>
      <c r="AI80" s="68" t="s">
        <v>428</v>
      </c>
      <c r="AJ80" s="170"/>
      <c r="AK80" s="170">
        <v>0</v>
      </c>
      <c r="AL80" s="170">
        <v>0</v>
      </c>
      <c r="AM80" s="170">
        <v>0</v>
      </c>
      <c r="AN80" s="170">
        <v>0</v>
      </c>
      <c r="AO80" s="170">
        <v>0</v>
      </c>
      <c r="AP80" s="170">
        <v>0</v>
      </c>
      <c r="AQ80" s="170">
        <v>0</v>
      </c>
      <c r="AR80" s="170">
        <v>0</v>
      </c>
      <c r="AS80" s="170">
        <v>0</v>
      </c>
      <c r="AT80" s="170"/>
      <c r="AU80" s="170"/>
      <c r="AV80" s="170">
        <v>0</v>
      </c>
      <c r="AW80" s="170">
        <v>1</v>
      </c>
      <c r="AX80" s="170">
        <v>0</v>
      </c>
      <c r="AY80" s="170">
        <v>0</v>
      </c>
      <c r="AZ80" s="170">
        <v>0</v>
      </c>
      <c r="BA80" s="170">
        <v>0</v>
      </c>
      <c r="BB80" s="170">
        <v>0</v>
      </c>
      <c r="BC80" s="170">
        <v>0</v>
      </c>
      <c r="BD80" s="170">
        <v>0</v>
      </c>
      <c r="BE80" s="170"/>
      <c r="BF80" s="170"/>
      <c r="BG80" s="206" t="s">
        <v>330</v>
      </c>
      <c r="BH80" s="257" t="s">
        <v>423</v>
      </c>
      <c r="BI80" s="48" t="s">
        <v>323</v>
      </c>
      <c r="BJ80" s="211"/>
      <c r="BK80" s="212">
        <v>0</v>
      </c>
      <c r="BL80" s="170">
        <v>0</v>
      </c>
      <c r="BM80" s="170">
        <v>0</v>
      </c>
      <c r="BN80" s="170">
        <v>0</v>
      </c>
      <c r="BO80" s="170">
        <v>0</v>
      </c>
      <c r="BP80" s="170">
        <v>0</v>
      </c>
      <c r="BQ80" s="170">
        <v>0</v>
      </c>
      <c r="BR80" s="170">
        <v>0</v>
      </c>
      <c r="BS80" s="170">
        <v>0</v>
      </c>
      <c r="BT80" s="213">
        <f t="shared" si="139"/>
        <v>0</v>
      </c>
      <c r="BU80" s="330">
        <f>75000/555000</f>
        <v>0.13513513513513514</v>
      </c>
      <c r="BV80" s="48" t="s">
        <v>424</v>
      </c>
      <c r="BW80" s="341">
        <f>480000/555000</f>
        <v>0.86486486486486491</v>
      </c>
      <c r="BX80" s="216" t="s">
        <v>429</v>
      </c>
      <c r="BY80" s="212">
        <f>+CS80*0.5*550</f>
        <v>65450000</v>
      </c>
      <c r="BZ80" s="170">
        <f>+CS80*0.5*550</f>
        <v>65450000</v>
      </c>
      <c r="CA80" s="170">
        <v>0</v>
      </c>
      <c r="CB80" s="170">
        <v>0</v>
      </c>
      <c r="CC80" s="170">
        <v>0</v>
      </c>
      <c r="CD80" s="170">
        <v>0</v>
      </c>
      <c r="CE80" s="170">
        <v>0</v>
      </c>
      <c r="CF80" s="170">
        <v>0</v>
      </c>
      <c r="CG80" s="213">
        <v>0</v>
      </c>
      <c r="CH80" s="217">
        <f t="shared" si="159"/>
        <v>65450000</v>
      </c>
      <c r="CI80" s="170">
        <f t="shared" si="159"/>
        <v>65450000</v>
      </c>
      <c r="CJ80" s="170">
        <f t="shared" si="160"/>
        <v>0</v>
      </c>
      <c r="CK80" s="170">
        <f t="shared" si="160"/>
        <v>0</v>
      </c>
      <c r="CL80" s="170">
        <f t="shared" si="160"/>
        <v>0</v>
      </c>
      <c r="CM80" s="170">
        <f t="shared" si="160"/>
        <v>0</v>
      </c>
      <c r="CN80" s="170">
        <f t="shared" si="160"/>
        <v>0</v>
      </c>
      <c r="CO80" s="170">
        <f t="shared" si="160"/>
        <v>0</v>
      </c>
      <c r="CP80" s="170">
        <f t="shared" si="160"/>
        <v>0</v>
      </c>
      <c r="CQ80" s="218">
        <f>SUM(CH80:CP80)</f>
        <v>130900000</v>
      </c>
      <c r="CR80" s="219"/>
      <c r="CS80" s="220">
        <f>48000+190000</f>
        <v>238000</v>
      </c>
      <c r="CT80" s="220" t="s">
        <v>430</v>
      </c>
      <c r="CU80" s="210"/>
      <c r="CV80" s="210"/>
      <c r="CW80" s="210"/>
      <c r="CX80" s="210"/>
      <c r="CY80" s="221">
        <f>+CQ80-CS80*550</f>
        <v>0</v>
      </c>
      <c r="CZ80" s="222"/>
      <c r="DA80" s="248"/>
      <c r="DB80" s="381"/>
      <c r="DC80" s="381"/>
      <c r="DD80" s="506"/>
      <c r="DE80" s="381"/>
    </row>
    <row r="81" spans="1:109" ht="26.1" customHeight="1" x14ac:dyDescent="0.25">
      <c r="A81" s="204" t="s">
        <v>77</v>
      </c>
      <c r="B81" s="205" t="s">
        <v>756</v>
      </c>
      <c r="C81" s="204" t="s">
        <v>77</v>
      </c>
      <c r="D81" s="205" t="s">
        <v>357</v>
      </c>
      <c r="E81" s="47" t="s">
        <v>4</v>
      </c>
      <c r="F81" s="48" t="s">
        <v>404</v>
      </c>
      <c r="G81" s="48" t="s">
        <v>394</v>
      </c>
      <c r="H81" s="50" t="s">
        <v>128</v>
      </c>
      <c r="I81" s="49"/>
      <c r="J81" s="49" t="s">
        <v>229</v>
      </c>
      <c r="K81" s="206"/>
      <c r="L81" s="207"/>
      <c r="M81" s="208"/>
      <c r="O81" s="204" t="s">
        <v>77</v>
      </c>
      <c r="P81" s="47" t="s">
        <v>4</v>
      </c>
      <c r="Q81" s="48" t="s">
        <v>404</v>
      </c>
      <c r="R81" s="50"/>
      <c r="S81" s="50" t="s">
        <v>314</v>
      </c>
      <c r="T81" s="50"/>
      <c r="U81" s="50"/>
      <c r="V81" s="50"/>
      <c r="W81" s="50"/>
      <c r="X81" s="50" t="s">
        <v>307</v>
      </c>
      <c r="Y81" s="50"/>
      <c r="Z81" s="50"/>
      <c r="AA81" s="50"/>
      <c r="AB81" s="50"/>
      <c r="AC81" s="50"/>
      <c r="AD81" s="50" t="s">
        <v>314</v>
      </c>
      <c r="AE81" s="50"/>
      <c r="AF81" s="259"/>
      <c r="AG81" s="47" t="s">
        <v>308</v>
      </c>
      <c r="AH81" s="210" t="s">
        <v>319</v>
      </c>
      <c r="AI81" s="68" t="s">
        <v>387</v>
      </c>
      <c r="AJ81" s="342">
        <v>0</v>
      </c>
      <c r="AK81" s="342">
        <v>0.25</v>
      </c>
      <c r="AL81" s="342">
        <v>0.25</v>
      </c>
      <c r="AM81" s="342">
        <v>0.25</v>
      </c>
      <c r="AN81" s="342">
        <v>0.25</v>
      </c>
      <c r="AO81" s="342">
        <v>0</v>
      </c>
      <c r="AP81" s="342">
        <v>0</v>
      </c>
      <c r="AQ81" s="342">
        <v>0</v>
      </c>
      <c r="AR81" s="342">
        <v>0</v>
      </c>
      <c r="AS81" s="342">
        <v>0</v>
      </c>
      <c r="AT81" s="342"/>
      <c r="AU81" s="342"/>
      <c r="AV81" s="342">
        <v>1</v>
      </c>
      <c r="AW81" s="342">
        <v>2</v>
      </c>
      <c r="AX81" s="342">
        <v>1</v>
      </c>
      <c r="AY81" s="342">
        <v>1</v>
      </c>
      <c r="AZ81" s="342">
        <v>0</v>
      </c>
      <c r="BA81" s="342">
        <v>1</v>
      </c>
      <c r="BB81" s="342">
        <v>0</v>
      </c>
      <c r="BC81" s="342">
        <v>1</v>
      </c>
      <c r="BD81" s="342">
        <v>0</v>
      </c>
      <c r="BE81" s="342"/>
      <c r="BF81" s="343"/>
      <c r="BG81" s="206" t="s">
        <v>4</v>
      </c>
      <c r="BH81" s="68" t="s">
        <v>349</v>
      </c>
      <c r="BI81" s="48" t="s">
        <v>313</v>
      </c>
      <c r="BJ81" s="269">
        <v>4200000</v>
      </c>
      <c r="BK81" s="212">
        <v>900000</v>
      </c>
      <c r="BL81" s="170">
        <v>2700000</v>
      </c>
      <c r="BM81" s="170">
        <v>900000</v>
      </c>
      <c r="BN81" s="170">
        <v>900000</v>
      </c>
      <c r="BO81" s="170">
        <v>0</v>
      </c>
      <c r="BP81" s="170">
        <v>900000</v>
      </c>
      <c r="BQ81" s="170">
        <v>0</v>
      </c>
      <c r="BR81" s="170">
        <v>900000</v>
      </c>
      <c r="BS81" s="170">
        <v>0</v>
      </c>
      <c r="BT81" s="213">
        <f t="shared" si="139"/>
        <v>7200000</v>
      </c>
      <c r="BU81" s="270">
        <v>0.7</v>
      </c>
      <c r="BV81" s="48"/>
      <c r="BW81" s="215">
        <v>0.3</v>
      </c>
      <c r="BX81" s="243" t="s">
        <v>386</v>
      </c>
      <c r="BY81" s="212">
        <v>34200000</v>
      </c>
      <c r="BZ81" s="170">
        <v>35600000</v>
      </c>
      <c r="CA81" s="170">
        <v>32450000</v>
      </c>
      <c r="CB81" s="170">
        <v>46600000</v>
      </c>
      <c r="CC81" s="170">
        <v>0</v>
      </c>
      <c r="CD81" s="170">
        <v>11400000</v>
      </c>
      <c r="CE81" s="170">
        <v>11400000</v>
      </c>
      <c r="CF81" s="170">
        <v>11400000</v>
      </c>
      <c r="CG81" s="213">
        <v>11400000</v>
      </c>
      <c r="CH81" s="212">
        <f t="shared" si="159"/>
        <v>33300000</v>
      </c>
      <c r="CI81" s="170">
        <f t="shared" si="159"/>
        <v>32900000</v>
      </c>
      <c r="CJ81" s="170">
        <f t="shared" ref="CJ81:CO81" si="161">+CA81-BM81</f>
        <v>31550000</v>
      </c>
      <c r="CK81" s="170">
        <f t="shared" si="161"/>
        <v>45700000</v>
      </c>
      <c r="CL81" s="170">
        <f t="shared" si="161"/>
        <v>0</v>
      </c>
      <c r="CM81" s="170">
        <f t="shared" si="161"/>
        <v>10500000</v>
      </c>
      <c r="CN81" s="170">
        <f t="shared" si="161"/>
        <v>11400000</v>
      </c>
      <c r="CO81" s="170">
        <f t="shared" si="161"/>
        <v>10500000</v>
      </c>
      <c r="CP81" s="170">
        <f>+CG81-BS81</f>
        <v>11400000</v>
      </c>
      <c r="CQ81" s="213">
        <f t="shared" si="151"/>
        <v>187250000</v>
      </c>
      <c r="CR81" s="219"/>
      <c r="CS81" s="220"/>
      <c r="CT81" s="220"/>
      <c r="CU81" s="210"/>
      <c r="CV81" s="210"/>
      <c r="CW81" s="210"/>
      <c r="CX81" s="210"/>
      <c r="CY81" s="221">
        <f>+CQ81-CS81*550</f>
        <v>187250000</v>
      </c>
      <c r="CZ81" s="222"/>
      <c r="DA81" s="246"/>
      <c r="DB81" s="381"/>
      <c r="DC81" s="381"/>
      <c r="DD81" s="506"/>
      <c r="DE81" s="381"/>
    </row>
    <row r="82" spans="1:109" ht="26.1" customHeight="1" x14ac:dyDescent="0.25">
      <c r="A82" s="143" t="s">
        <v>78</v>
      </c>
      <c r="B82" s="144" t="s">
        <v>737</v>
      </c>
      <c r="C82" s="143" t="s">
        <v>78</v>
      </c>
      <c r="D82" s="144" t="s">
        <v>356</v>
      </c>
      <c r="E82" s="59" t="s">
        <v>2</v>
      </c>
      <c r="F82" s="145"/>
      <c r="G82" s="60"/>
      <c r="H82" s="61"/>
      <c r="I82" s="62"/>
      <c r="J82" s="62"/>
      <c r="K82" s="147" t="s">
        <v>259</v>
      </c>
      <c r="L82" s="148"/>
      <c r="M82" s="149"/>
      <c r="O82" s="143" t="s">
        <v>78</v>
      </c>
      <c r="P82" s="150"/>
      <c r="Q82" s="145"/>
      <c r="R82" s="145"/>
      <c r="S82" s="145"/>
      <c r="T82" s="145"/>
      <c r="U82" s="145"/>
      <c r="V82" s="145"/>
      <c r="W82" s="145"/>
      <c r="X82" s="145"/>
      <c r="Y82" s="145"/>
      <c r="Z82" s="145"/>
      <c r="AA82" s="145"/>
      <c r="AB82" s="145"/>
      <c r="AC82" s="145"/>
      <c r="AD82" s="145"/>
      <c r="AE82" s="145"/>
      <c r="AF82" s="151"/>
      <c r="AG82" s="150"/>
      <c r="AH82" s="145"/>
      <c r="AI82" s="145"/>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254"/>
      <c r="BG82" s="150"/>
      <c r="BH82" s="154" t="s">
        <v>356</v>
      </c>
      <c r="BI82" s="155"/>
      <c r="BJ82" s="156">
        <f t="shared" ref="BJ82:BS82" si="162">SUM(BJ83:BJ84)</f>
        <v>0</v>
      </c>
      <c r="BK82" s="157">
        <f t="shared" si="162"/>
        <v>0</v>
      </c>
      <c r="BL82" s="152">
        <f t="shared" si="162"/>
        <v>0</v>
      </c>
      <c r="BM82" s="152">
        <f t="shared" si="162"/>
        <v>0</v>
      </c>
      <c r="BN82" s="152">
        <f t="shared" si="162"/>
        <v>0</v>
      </c>
      <c r="BO82" s="152">
        <f t="shared" si="162"/>
        <v>0</v>
      </c>
      <c r="BP82" s="152">
        <f t="shared" si="162"/>
        <v>0</v>
      </c>
      <c r="BQ82" s="152">
        <f t="shared" si="162"/>
        <v>0</v>
      </c>
      <c r="BR82" s="152">
        <f t="shared" si="162"/>
        <v>0</v>
      </c>
      <c r="BS82" s="152">
        <f t="shared" si="162"/>
        <v>0</v>
      </c>
      <c r="BT82" s="156">
        <f t="shared" si="139"/>
        <v>0</v>
      </c>
      <c r="BU82" s="158"/>
      <c r="BV82" s="145"/>
      <c r="BW82" s="145"/>
      <c r="BX82" s="159"/>
      <c r="BY82" s="157">
        <f t="shared" ref="BY82:CP82" si="163">SUM(BY83:BY84)</f>
        <v>6600000</v>
      </c>
      <c r="BZ82" s="152">
        <f t="shared" si="163"/>
        <v>6600000</v>
      </c>
      <c r="CA82" s="152">
        <f t="shared" si="163"/>
        <v>6600000</v>
      </c>
      <c r="CB82" s="152">
        <f t="shared" si="163"/>
        <v>6600000</v>
      </c>
      <c r="CC82" s="152">
        <f t="shared" si="163"/>
        <v>6600000</v>
      </c>
      <c r="CD82" s="152">
        <f t="shared" si="163"/>
        <v>6600000</v>
      </c>
      <c r="CE82" s="152">
        <f t="shared" si="163"/>
        <v>6600000</v>
      </c>
      <c r="CF82" s="152">
        <f t="shared" si="163"/>
        <v>6600000</v>
      </c>
      <c r="CG82" s="156">
        <f t="shared" si="163"/>
        <v>6600000</v>
      </c>
      <c r="CH82" s="157">
        <f t="shared" si="163"/>
        <v>6600000</v>
      </c>
      <c r="CI82" s="152">
        <f t="shared" si="163"/>
        <v>6600000</v>
      </c>
      <c r="CJ82" s="152">
        <f t="shared" si="163"/>
        <v>6600000</v>
      </c>
      <c r="CK82" s="152">
        <f t="shared" si="163"/>
        <v>6600000</v>
      </c>
      <c r="CL82" s="152">
        <f t="shared" si="163"/>
        <v>6600000</v>
      </c>
      <c r="CM82" s="152">
        <f t="shared" si="163"/>
        <v>6600000</v>
      </c>
      <c r="CN82" s="152">
        <f t="shared" si="163"/>
        <v>6600000</v>
      </c>
      <c r="CO82" s="152">
        <f t="shared" si="163"/>
        <v>6600000</v>
      </c>
      <c r="CP82" s="152">
        <f t="shared" si="163"/>
        <v>6600000</v>
      </c>
      <c r="CQ82" s="156">
        <f t="shared" si="151"/>
        <v>59400000</v>
      </c>
      <c r="CR82" s="158"/>
      <c r="CS82" s="160">
        <f>SUM(CS83:CS84)</f>
        <v>84000</v>
      </c>
      <c r="CT82" s="145"/>
      <c r="CU82" s="145"/>
      <c r="CV82" s="145"/>
      <c r="CW82" s="145"/>
      <c r="CX82" s="145"/>
      <c r="CY82" s="161">
        <f>SUM(CY83:CY84)</f>
        <v>13200000</v>
      </c>
      <c r="CZ82" s="151"/>
      <c r="DA82" s="162"/>
      <c r="DB82" s="381"/>
      <c r="DC82" s="381"/>
      <c r="DD82" s="506"/>
      <c r="DE82" s="381"/>
    </row>
    <row r="83" spans="1:109" ht="26.1" customHeight="1" x14ac:dyDescent="0.25">
      <c r="A83" s="204" t="s">
        <v>79</v>
      </c>
      <c r="B83" s="205" t="s">
        <v>738</v>
      </c>
      <c r="C83" s="204" t="s">
        <v>79</v>
      </c>
      <c r="D83" s="205" t="s">
        <v>356</v>
      </c>
      <c r="E83" s="47" t="s">
        <v>2</v>
      </c>
      <c r="F83" s="48" t="s">
        <v>403</v>
      </c>
      <c r="G83" s="48" t="s">
        <v>393</v>
      </c>
      <c r="H83" s="48" t="s">
        <v>129</v>
      </c>
      <c r="I83" s="49"/>
      <c r="J83" s="49" t="s">
        <v>229</v>
      </c>
      <c r="K83" s="206"/>
      <c r="L83" s="207"/>
      <c r="M83" s="208"/>
      <c r="O83" s="204" t="s">
        <v>79</v>
      </c>
      <c r="P83" s="47" t="s">
        <v>3</v>
      </c>
      <c r="Q83" s="48" t="s">
        <v>403</v>
      </c>
      <c r="R83" s="48" t="s">
        <v>314</v>
      </c>
      <c r="S83" s="48" t="s">
        <v>314</v>
      </c>
      <c r="T83" s="48" t="s">
        <v>314</v>
      </c>
      <c r="U83" s="48" t="s">
        <v>307</v>
      </c>
      <c r="V83" s="48" t="s">
        <v>314</v>
      </c>
      <c r="W83" s="48"/>
      <c r="X83" s="48" t="s">
        <v>314</v>
      </c>
      <c r="Y83" s="48"/>
      <c r="Z83" s="48"/>
      <c r="AA83" s="48"/>
      <c r="AB83" s="48"/>
      <c r="AC83" s="48" t="s">
        <v>314</v>
      </c>
      <c r="AD83" s="48"/>
      <c r="AE83" s="48"/>
      <c r="AF83" s="209"/>
      <c r="AG83" s="47" t="s">
        <v>315</v>
      </c>
      <c r="AH83" s="210" t="s">
        <v>342</v>
      </c>
      <c r="AI83" s="68" t="s">
        <v>468</v>
      </c>
      <c r="AJ83" s="170"/>
      <c r="AK83" s="170">
        <v>0</v>
      </c>
      <c r="AL83" s="170">
        <v>0</v>
      </c>
      <c r="AM83" s="170">
        <v>0</v>
      </c>
      <c r="AN83" s="170">
        <v>0</v>
      </c>
      <c r="AO83" s="170">
        <v>0</v>
      </c>
      <c r="AP83" s="170">
        <v>0</v>
      </c>
      <c r="AQ83" s="170">
        <v>0</v>
      </c>
      <c r="AR83" s="170">
        <v>0</v>
      </c>
      <c r="AS83" s="170">
        <v>0</v>
      </c>
      <c r="AT83" s="170"/>
      <c r="AU83" s="170"/>
      <c r="AV83" s="170">
        <v>1</v>
      </c>
      <c r="AW83" s="170">
        <v>1</v>
      </c>
      <c r="AX83" s="170">
        <v>1</v>
      </c>
      <c r="AY83" s="170">
        <v>1</v>
      </c>
      <c r="AZ83" s="170">
        <v>1</v>
      </c>
      <c r="BA83" s="170">
        <v>1</v>
      </c>
      <c r="BB83" s="170">
        <v>1</v>
      </c>
      <c r="BC83" s="170">
        <v>1</v>
      </c>
      <c r="BD83" s="170">
        <v>1</v>
      </c>
      <c r="BE83" s="170"/>
      <c r="BF83" s="260"/>
      <c r="BG83" s="206" t="s">
        <v>330</v>
      </c>
      <c r="BH83" s="257" t="s">
        <v>321</v>
      </c>
      <c r="BI83" s="48" t="s">
        <v>313</v>
      </c>
      <c r="BJ83" s="241"/>
      <c r="BK83" s="212">
        <v>0</v>
      </c>
      <c r="BL83" s="170">
        <v>0</v>
      </c>
      <c r="BM83" s="170">
        <v>0</v>
      </c>
      <c r="BN83" s="170">
        <v>0</v>
      </c>
      <c r="BO83" s="170">
        <v>0</v>
      </c>
      <c r="BP83" s="170">
        <v>0</v>
      </c>
      <c r="BQ83" s="170">
        <v>0</v>
      </c>
      <c r="BR83" s="170">
        <v>0</v>
      </c>
      <c r="BS83" s="170">
        <v>0</v>
      </c>
      <c r="BT83" s="213">
        <f>SUM(BK83:BS83)</f>
        <v>0</v>
      </c>
      <c r="BU83" s="245"/>
      <c r="BV83" s="48"/>
      <c r="BW83" s="48"/>
      <c r="BX83" s="243"/>
      <c r="BY83" s="212">
        <f>500*12*550</f>
        <v>3300000</v>
      </c>
      <c r="BZ83" s="170">
        <f>500*12*550</f>
        <v>3300000</v>
      </c>
      <c r="CA83" s="170">
        <f t="shared" ref="CA83:CF83" si="164">500*12*550</f>
        <v>3300000</v>
      </c>
      <c r="CB83" s="170">
        <f t="shared" si="164"/>
        <v>3300000</v>
      </c>
      <c r="CC83" s="170">
        <f t="shared" si="164"/>
        <v>3300000</v>
      </c>
      <c r="CD83" s="170">
        <f t="shared" si="164"/>
        <v>3300000</v>
      </c>
      <c r="CE83" s="170">
        <f t="shared" si="164"/>
        <v>3300000</v>
      </c>
      <c r="CF83" s="170">
        <f t="shared" si="164"/>
        <v>3300000</v>
      </c>
      <c r="CG83" s="213">
        <f>500*12*550</f>
        <v>3300000</v>
      </c>
      <c r="CH83" s="217">
        <f t="shared" ref="CH83:CP84" si="165">+BY83-BK83</f>
        <v>3300000</v>
      </c>
      <c r="CI83" s="170">
        <f t="shared" si="165"/>
        <v>3300000</v>
      </c>
      <c r="CJ83" s="170">
        <f t="shared" si="165"/>
        <v>3300000</v>
      </c>
      <c r="CK83" s="170">
        <f t="shared" si="165"/>
        <v>3300000</v>
      </c>
      <c r="CL83" s="170">
        <f t="shared" si="165"/>
        <v>3300000</v>
      </c>
      <c r="CM83" s="170">
        <f t="shared" si="165"/>
        <v>3300000</v>
      </c>
      <c r="CN83" s="170">
        <f t="shared" si="165"/>
        <v>3300000</v>
      </c>
      <c r="CO83" s="170">
        <f t="shared" si="165"/>
        <v>3300000</v>
      </c>
      <c r="CP83" s="170">
        <f t="shared" si="165"/>
        <v>3300000</v>
      </c>
      <c r="CQ83" s="218">
        <f t="shared" ref="CQ83:CQ98" si="166">SUM(CH83:CP83)</f>
        <v>29700000</v>
      </c>
      <c r="CR83" s="219"/>
      <c r="CS83" s="220">
        <f>(24000+16000+12000)</f>
        <v>52000</v>
      </c>
      <c r="CT83" s="220"/>
      <c r="CU83" s="210"/>
      <c r="CV83" s="210"/>
      <c r="CW83" s="210"/>
      <c r="CX83" s="210"/>
      <c r="CY83" s="221">
        <f>+CQ83-CS83*550</f>
        <v>1100000</v>
      </c>
      <c r="CZ83" s="222"/>
      <c r="DA83" s="246"/>
      <c r="DB83" s="381"/>
      <c r="DC83" s="381"/>
      <c r="DD83" s="506"/>
      <c r="DE83" s="381"/>
    </row>
    <row r="84" spans="1:109" ht="26.1" customHeight="1" x14ac:dyDescent="0.25">
      <c r="A84" s="204" t="s">
        <v>359</v>
      </c>
      <c r="B84" s="205" t="s">
        <v>739</v>
      </c>
      <c r="C84" s="204" t="s">
        <v>80</v>
      </c>
      <c r="D84" s="205" t="s">
        <v>357</v>
      </c>
      <c r="E84" s="47" t="s">
        <v>2</v>
      </c>
      <c r="F84" s="48" t="s">
        <v>403</v>
      </c>
      <c r="G84" s="48" t="s">
        <v>393</v>
      </c>
      <c r="H84" s="48" t="s">
        <v>130</v>
      </c>
      <c r="I84" s="49"/>
      <c r="J84" s="49" t="s">
        <v>229</v>
      </c>
      <c r="K84" s="206"/>
      <c r="L84" s="207"/>
      <c r="M84" s="208"/>
      <c r="O84" s="204" t="s">
        <v>80</v>
      </c>
      <c r="P84" s="47" t="s">
        <v>3</v>
      </c>
      <c r="Q84" s="48" t="s">
        <v>403</v>
      </c>
      <c r="R84" s="48" t="s">
        <v>314</v>
      </c>
      <c r="S84" s="48" t="s">
        <v>314</v>
      </c>
      <c r="T84" s="48"/>
      <c r="U84" s="48" t="s">
        <v>307</v>
      </c>
      <c r="V84" s="48"/>
      <c r="W84" s="48"/>
      <c r="X84" s="48" t="s">
        <v>314</v>
      </c>
      <c r="Y84" s="48"/>
      <c r="Z84" s="48"/>
      <c r="AA84" s="48"/>
      <c r="AB84" s="48"/>
      <c r="AC84" s="48"/>
      <c r="AD84" s="48"/>
      <c r="AE84" s="48" t="s">
        <v>314</v>
      </c>
      <c r="AF84" s="209"/>
      <c r="AG84" s="47" t="s">
        <v>315</v>
      </c>
      <c r="AH84" s="210" t="s">
        <v>319</v>
      </c>
      <c r="AI84" s="68" t="s">
        <v>343</v>
      </c>
      <c r="AJ84" s="170"/>
      <c r="AK84" s="170">
        <v>0</v>
      </c>
      <c r="AL84" s="170">
        <v>0</v>
      </c>
      <c r="AM84" s="170">
        <v>0</v>
      </c>
      <c r="AN84" s="170">
        <v>0</v>
      </c>
      <c r="AO84" s="170">
        <v>0</v>
      </c>
      <c r="AP84" s="170">
        <v>0</v>
      </c>
      <c r="AQ84" s="170">
        <v>0</v>
      </c>
      <c r="AR84" s="170">
        <v>0</v>
      </c>
      <c r="AS84" s="170">
        <v>0</v>
      </c>
      <c r="AT84" s="170"/>
      <c r="AU84" s="170"/>
      <c r="AV84" s="170">
        <v>1</v>
      </c>
      <c r="AW84" s="170">
        <v>1</v>
      </c>
      <c r="AX84" s="170">
        <v>1</v>
      </c>
      <c r="AY84" s="170">
        <v>1</v>
      </c>
      <c r="AZ84" s="170">
        <v>1</v>
      </c>
      <c r="BA84" s="170">
        <v>1</v>
      </c>
      <c r="BB84" s="170">
        <v>1</v>
      </c>
      <c r="BC84" s="170">
        <v>1</v>
      </c>
      <c r="BD84" s="170">
        <v>1</v>
      </c>
      <c r="BE84" s="170"/>
      <c r="BF84" s="260"/>
      <c r="BG84" s="206" t="s">
        <v>81</v>
      </c>
      <c r="BH84" s="68" t="s">
        <v>349</v>
      </c>
      <c r="BI84" s="48" t="s">
        <v>313</v>
      </c>
      <c r="BJ84" s="241"/>
      <c r="BK84" s="212">
        <v>0</v>
      </c>
      <c r="BL84" s="170">
        <v>0</v>
      </c>
      <c r="BM84" s="170">
        <v>0</v>
      </c>
      <c r="BN84" s="170">
        <v>0</v>
      </c>
      <c r="BO84" s="170">
        <v>0</v>
      </c>
      <c r="BP84" s="170">
        <v>0</v>
      </c>
      <c r="BQ84" s="170">
        <v>0</v>
      </c>
      <c r="BR84" s="170">
        <v>0</v>
      </c>
      <c r="BS84" s="170">
        <v>0</v>
      </c>
      <c r="BT84" s="213">
        <f>SUM(BK84:BS84)</f>
        <v>0</v>
      </c>
      <c r="BU84" s="245"/>
      <c r="BV84" s="48"/>
      <c r="BW84" s="48"/>
      <c r="BX84" s="243"/>
      <c r="BY84" s="212">
        <f>500*550*12</f>
        <v>3300000</v>
      </c>
      <c r="BZ84" s="170">
        <f>500*550*12</f>
        <v>3300000</v>
      </c>
      <c r="CA84" s="170">
        <f t="shared" ref="CA84:CG84" si="167">500*550*12</f>
        <v>3300000</v>
      </c>
      <c r="CB84" s="170">
        <f t="shared" si="167"/>
        <v>3300000</v>
      </c>
      <c r="CC84" s="170">
        <f t="shared" si="167"/>
        <v>3300000</v>
      </c>
      <c r="CD84" s="170">
        <f t="shared" si="167"/>
        <v>3300000</v>
      </c>
      <c r="CE84" s="170">
        <f t="shared" si="167"/>
        <v>3300000</v>
      </c>
      <c r="CF84" s="170">
        <f t="shared" si="167"/>
        <v>3300000</v>
      </c>
      <c r="CG84" s="213">
        <f t="shared" si="167"/>
        <v>3300000</v>
      </c>
      <c r="CH84" s="217">
        <f t="shared" si="165"/>
        <v>3300000</v>
      </c>
      <c r="CI84" s="170">
        <f t="shared" si="165"/>
        <v>3300000</v>
      </c>
      <c r="CJ84" s="170">
        <f t="shared" si="165"/>
        <v>3300000</v>
      </c>
      <c r="CK84" s="170">
        <f t="shared" si="165"/>
        <v>3300000</v>
      </c>
      <c r="CL84" s="170">
        <f t="shared" si="165"/>
        <v>3300000</v>
      </c>
      <c r="CM84" s="170">
        <f t="shared" si="165"/>
        <v>3300000</v>
      </c>
      <c r="CN84" s="170">
        <f t="shared" si="165"/>
        <v>3300000</v>
      </c>
      <c r="CO84" s="170">
        <f t="shared" si="165"/>
        <v>3300000</v>
      </c>
      <c r="CP84" s="170">
        <f t="shared" si="165"/>
        <v>3300000</v>
      </c>
      <c r="CQ84" s="218">
        <f t="shared" si="166"/>
        <v>29700000</v>
      </c>
      <c r="CR84" s="219"/>
      <c r="CS84" s="220">
        <f>32000</f>
        <v>32000</v>
      </c>
      <c r="CT84" s="220" t="s">
        <v>469</v>
      </c>
      <c r="CU84" s="210"/>
      <c r="CV84" s="210"/>
      <c r="CW84" s="210"/>
      <c r="CX84" s="210"/>
      <c r="CY84" s="221">
        <f>+CQ84-CS84*550</f>
        <v>12100000</v>
      </c>
      <c r="CZ84" s="222"/>
      <c r="DA84" s="246"/>
      <c r="DB84" s="381"/>
      <c r="DC84" s="381"/>
      <c r="DD84" s="506"/>
      <c r="DE84" s="381"/>
    </row>
    <row r="85" spans="1:109" ht="26.1" customHeight="1" x14ac:dyDescent="0.25">
      <c r="A85" s="143" t="s">
        <v>82</v>
      </c>
      <c r="B85" s="144" t="s">
        <v>740</v>
      </c>
      <c r="C85" s="143" t="s">
        <v>82</v>
      </c>
      <c r="D85" s="144" t="s">
        <v>357</v>
      </c>
      <c r="E85" s="59" t="s">
        <v>2</v>
      </c>
      <c r="F85" s="145"/>
      <c r="G85" s="60"/>
      <c r="H85" s="61"/>
      <c r="I85" s="62"/>
      <c r="J85" s="62"/>
      <c r="K85" s="147" t="s">
        <v>259</v>
      </c>
      <c r="L85" s="148"/>
      <c r="M85" s="149"/>
      <c r="O85" s="143" t="s">
        <v>82</v>
      </c>
      <c r="P85" s="150"/>
      <c r="Q85" s="145"/>
      <c r="R85" s="145"/>
      <c r="S85" s="145"/>
      <c r="T85" s="145"/>
      <c r="U85" s="145"/>
      <c r="V85" s="145"/>
      <c r="W85" s="145"/>
      <c r="X85" s="145"/>
      <c r="Y85" s="145"/>
      <c r="Z85" s="145"/>
      <c r="AA85" s="145"/>
      <c r="AB85" s="145"/>
      <c r="AC85" s="145"/>
      <c r="AD85" s="145"/>
      <c r="AE85" s="145"/>
      <c r="AF85" s="151"/>
      <c r="AG85" s="150"/>
      <c r="AH85" s="145"/>
      <c r="AI85" s="145"/>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254"/>
      <c r="BG85" s="150"/>
      <c r="BH85" s="154" t="s">
        <v>357</v>
      </c>
      <c r="BI85" s="155"/>
      <c r="BJ85" s="156">
        <f t="shared" ref="BJ85:BS85" si="168">SUM(BJ86)</f>
        <v>0</v>
      </c>
      <c r="BK85" s="157">
        <f t="shared" si="168"/>
        <v>0</v>
      </c>
      <c r="BL85" s="152">
        <f t="shared" si="168"/>
        <v>0</v>
      </c>
      <c r="BM85" s="152">
        <f t="shared" si="168"/>
        <v>0</v>
      </c>
      <c r="BN85" s="152">
        <f t="shared" si="168"/>
        <v>0</v>
      </c>
      <c r="BO85" s="152">
        <f t="shared" si="168"/>
        <v>0</v>
      </c>
      <c r="BP85" s="152">
        <f t="shared" si="168"/>
        <v>0</v>
      </c>
      <c r="BQ85" s="152">
        <f t="shared" si="168"/>
        <v>0</v>
      </c>
      <c r="BR85" s="152">
        <f t="shared" si="168"/>
        <v>0</v>
      </c>
      <c r="BS85" s="152">
        <f t="shared" si="168"/>
        <v>0</v>
      </c>
      <c r="BT85" s="156">
        <f t="shared" ref="BT85:BT91" si="169">SUM(BK85:BS85)</f>
        <v>0</v>
      </c>
      <c r="BU85" s="158"/>
      <c r="BV85" s="145"/>
      <c r="BW85" s="145"/>
      <c r="BX85" s="159"/>
      <c r="BY85" s="157">
        <f t="shared" ref="BY85:CP85" si="170">SUM(BY86)</f>
        <v>24750000</v>
      </c>
      <c r="BZ85" s="152">
        <f t="shared" si="170"/>
        <v>0</v>
      </c>
      <c r="CA85" s="152">
        <f t="shared" si="170"/>
        <v>0</v>
      </c>
      <c r="CB85" s="152">
        <f t="shared" si="170"/>
        <v>0</v>
      </c>
      <c r="CC85" s="152">
        <f t="shared" si="170"/>
        <v>0</v>
      </c>
      <c r="CD85" s="152">
        <f t="shared" si="170"/>
        <v>0</v>
      </c>
      <c r="CE85" s="152">
        <f t="shared" si="170"/>
        <v>0</v>
      </c>
      <c r="CF85" s="152">
        <f t="shared" si="170"/>
        <v>0</v>
      </c>
      <c r="CG85" s="156">
        <f t="shared" si="170"/>
        <v>0</v>
      </c>
      <c r="CH85" s="157">
        <f t="shared" si="170"/>
        <v>24750000</v>
      </c>
      <c r="CI85" s="152">
        <f t="shared" si="170"/>
        <v>0</v>
      </c>
      <c r="CJ85" s="152">
        <f t="shared" si="170"/>
        <v>0</v>
      </c>
      <c r="CK85" s="152">
        <f t="shared" si="170"/>
        <v>0</v>
      </c>
      <c r="CL85" s="152">
        <f t="shared" si="170"/>
        <v>0</v>
      </c>
      <c r="CM85" s="152">
        <f t="shared" si="170"/>
        <v>0</v>
      </c>
      <c r="CN85" s="152">
        <f t="shared" si="170"/>
        <v>0</v>
      </c>
      <c r="CO85" s="152">
        <f t="shared" si="170"/>
        <v>0</v>
      </c>
      <c r="CP85" s="152">
        <f t="shared" si="170"/>
        <v>0</v>
      </c>
      <c r="CQ85" s="156">
        <f t="shared" si="166"/>
        <v>24750000</v>
      </c>
      <c r="CR85" s="158"/>
      <c r="CS85" s="160">
        <f>SUM(CS86)</f>
        <v>45000</v>
      </c>
      <c r="CT85" s="145"/>
      <c r="CU85" s="145"/>
      <c r="CV85" s="145"/>
      <c r="CW85" s="145"/>
      <c r="CX85" s="145"/>
      <c r="CY85" s="161">
        <f>SUM(CY86)</f>
        <v>0</v>
      </c>
      <c r="CZ85" s="151"/>
      <c r="DA85" s="162"/>
      <c r="DB85" s="381"/>
      <c r="DC85" s="381"/>
      <c r="DD85" s="506"/>
      <c r="DE85" s="381"/>
    </row>
    <row r="86" spans="1:109" ht="26.1" customHeight="1" x14ac:dyDescent="0.25">
      <c r="A86" s="204" t="s">
        <v>83</v>
      </c>
      <c r="B86" s="205" t="s">
        <v>741</v>
      </c>
      <c r="C86" s="204" t="s">
        <v>83</v>
      </c>
      <c r="D86" s="205" t="s">
        <v>357</v>
      </c>
      <c r="E86" s="47" t="s">
        <v>2</v>
      </c>
      <c r="F86" s="48" t="s">
        <v>403</v>
      </c>
      <c r="G86" s="48" t="s">
        <v>393</v>
      </c>
      <c r="H86" s="48" t="s">
        <v>131</v>
      </c>
      <c r="I86" s="49"/>
      <c r="J86" s="49" t="s">
        <v>230</v>
      </c>
      <c r="K86" s="206"/>
      <c r="L86" s="207"/>
      <c r="M86" s="208"/>
      <c r="O86" s="204" t="s">
        <v>83</v>
      </c>
      <c r="P86" s="47" t="s">
        <v>3</v>
      </c>
      <c r="Q86" s="48" t="s">
        <v>403</v>
      </c>
      <c r="R86" s="48" t="s">
        <v>314</v>
      </c>
      <c r="S86" s="48" t="s">
        <v>314</v>
      </c>
      <c r="T86" s="48" t="s">
        <v>314</v>
      </c>
      <c r="U86" s="48" t="s">
        <v>307</v>
      </c>
      <c r="V86" s="48"/>
      <c r="W86" s="48"/>
      <c r="X86" s="48" t="s">
        <v>314</v>
      </c>
      <c r="Y86" s="48"/>
      <c r="Z86" s="48"/>
      <c r="AA86" s="48"/>
      <c r="AB86" s="48"/>
      <c r="AC86" s="48"/>
      <c r="AD86" s="48"/>
      <c r="AE86" s="48"/>
      <c r="AF86" s="209"/>
      <c r="AG86" s="47" t="s">
        <v>315</v>
      </c>
      <c r="AH86" s="210" t="s">
        <v>319</v>
      </c>
      <c r="AI86" s="68" t="s">
        <v>344</v>
      </c>
      <c r="AJ86" s="170"/>
      <c r="AK86" s="170">
        <v>0</v>
      </c>
      <c r="AL86" s="170">
        <v>0</v>
      </c>
      <c r="AM86" s="170">
        <v>0</v>
      </c>
      <c r="AN86" s="170">
        <v>0</v>
      </c>
      <c r="AO86" s="170">
        <v>0</v>
      </c>
      <c r="AP86" s="170">
        <v>0</v>
      </c>
      <c r="AQ86" s="170">
        <v>0</v>
      </c>
      <c r="AR86" s="170">
        <v>0</v>
      </c>
      <c r="AS86" s="170">
        <v>0</v>
      </c>
      <c r="AT86" s="170"/>
      <c r="AU86" s="170"/>
      <c r="AV86" s="170">
        <v>1</v>
      </c>
      <c r="AW86" s="170">
        <v>0</v>
      </c>
      <c r="AX86" s="170">
        <v>0</v>
      </c>
      <c r="AY86" s="170">
        <v>0</v>
      </c>
      <c r="AZ86" s="170">
        <v>0</v>
      </c>
      <c r="BA86" s="170">
        <v>0</v>
      </c>
      <c r="BB86" s="170">
        <v>0</v>
      </c>
      <c r="BC86" s="170">
        <v>0</v>
      </c>
      <c r="BD86" s="170">
        <v>0</v>
      </c>
      <c r="BE86" s="170"/>
      <c r="BF86" s="260"/>
      <c r="BG86" s="206" t="s">
        <v>311</v>
      </c>
      <c r="BH86" s="68" t="s">
        <v>349</v>
      </c>
      <c r="BI86" s="48" t="s">
        <v>313</v>
      </c>
      <c r="BJ86" s="241"/>
      <c r="BK86" s="212">
        <v>0</v>
      </c>
      <c r="BL86" s="170">
        <v>0</v>
      </c>
      <c r="BM86" s="170">
        <v>0</v>
      </c>
      <c r="BN86" s="170">
        <v>0</v>
      </c>
      <c r="BO86" s="170">
        <v>0</v>
      </c>
      <c r="BP86" s="170">
        <v>0</v>
      </c>
      <c r="BQ86" s="170">
        <v>0</v>
      </c>
      <c r="BR86" s="170">
        <v>0</v>
      </c>
      <c r="BS86" s="170">
        <v>0</v>
      </c>
      <c r="BT86" s="213">
        <f t="shared" si="169"/>
        <v>0</v>
      </c>
      <c r="BU86" s="245"/>
      <c r="BV86" s="48"/>
      <c r="BW86" s="48"/>
      <c r="BX86" s="243"/>
      <c r="BY86" s="212">
        <f>45000*550</f>
        <v>24750000</v>
      </c>
      <c r="BZ86" s="170">
        <v>0</v>
      </c>
      <c r="CA86" s="170">
        <v>0</v>
      </c>
      <c r="CB86" s="170">
        <v>0</v>
      </c>
      <c r="CC86" s="170">
        <v>0</v>
      </c>
      <c r="CD86" s="170">
        <v>0</v>
      </c>
      <c r="CE86" s="170">
        <v>0</v>
      </c>
      <c r="CF86" s="170">
        <v>0</v>
      </c>
      <c r="CG86" s="213">
        <v>0</v>
      </c>
      <c r="CH86" s="217">
        <f t="shared" ref="CH86:CP86" si="171">+BY86-BK86</f>
        <v>24750000</v>
      </c>
      <c r="CI86" s="170">
        <f t="shared" si="171"/>
        <v>0</v>
      </c>
      <c r="CJ86" s="170">
        <f t="shared" si="171"/>
        <v>0</v>
      </c>
      <c r="CK86" s="170">
        <f t="shared" si="171"/>
        <v>0</v>
      </c>
      <c r="CL86" s="170">
        <f t="shared" si="171"/>
        <v>0</v>
      </c>
      <c r="CM86" s="170">
        <f t="shared" si="171"/>
        <v>0</v>
      </c>
      <c r="CN86" s="170">
        <f t="shared" si="171"/>
        <v>0</v>
      </c>
      <c r="CO86" s="170">
        <f t="shared" si="171"/>
        <v>0</v>
      </c>
      <c r="CP86" s="170">
        <f t="shared" si="171"/>
        <v>0</v>
      </c>
      <c r="CQ86" s="218">
        <f t="shared" si="166"/>
        <v>24750000</v>
      </c>
      <c r="CR86" s="219"/>
      <c r="CS86" s="220">
        <f>35000+10000</f>
        <v>45000</v>
      </c>
      <c r="CT86" s="220" t="s">
        <v>345</v>
      </c>
      <c r="CU86" s="210"/>
      <c r="CV86" s="210"/>
      <c r="CW86" s="210"/>
      <c r="CX86" s="210"/>
      <c r="CY86" s="221">
        <f>+CQ86-CS86*550</f>
        <v>0</v>
      </c>
      <c r="CZ86" s="222"/>
      <c r="DA86" s="246"/>
      <c r="DB86" s="381"/>
      <c r="DC86" s="381"/>
      <c r="DD86" s="506"/>
      <c r="DE86" s="381"/>
    </row>
    <row r="87" spans="1:109" ht="26.1" customHeight="1" x14ac:dyDescent="0.25">
      <c r="A87" s="143" t="s">
        <v>84</v>
      </c>
      <c r="B87" s="144" t="s">
        <v>742</v>
      </c>
      <c r="C87" s="143" t="s">
        <v>84</v>
      </c>
      <c r="D87" s="144" t="s">
        <v>356</v>
      </c>
      <c r="E87" s="59" t="s">
        <v>490</v>
      </c>
      <c r="F87" s="145"/>
      <c r="G87" s="60"/>
      <c r="H87" s="61"/>
      <c r="I87" s="62"/>
      <c r="J87" s="62"/>
      <c r="K87" s="147" t="s">
        <v>259</v>
      </c>
      <c r="L87" s="148"/>
      <c r="M87" s="149"/>
      <c r="O87" s="143" t="s">
        <v>84</v>
      </c>
      <c r="P87" s="150"/>
      <c r="Q87" s="145"/>
      <c r="R87" s="145"/>
      <c r="S87" s="145"/>
      <c r="T87" s="145"/>
      <c r="U87" s="145"/>
      <c r="V87" s="145"/>
      <c r="W87" s="145"/>
      <c r="X87" s="145"/>
      <c r="Y87" s="145"/>
      <c r="Z87" s="145"/>
      <c r="AA87" s="145"/>
      <c r="AB87" s="145"/>
      <c r="AC87" s="145"/>
      <c r="AD87" s="145"/>
      <c r="AE87" s="145"/>
      <c r="AF87" s="151"/>
      <c r="AG87" s="150"/>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51"/>
      <c r="BG87" s="150"/>
      <c r="BH87" s="154" t="s">
        <v>356</v>
      </c>
      <c r="BI87" s="155"/>
      <c r="BJ87" s="156">
        <f t="shared" ref="BJ87:BS87" si="172">SUM(BJ88:BJ90)</f>
        <v>22000000</v>
      </c>
      <c r="BK87" s="157">
        <f t="shared" si="172"/>
        <v>22000000</v>
      </c>
      <c r="BL87" s="152">
        <f t="shared" si="172"/>
        <v>22000000</v>
      </c>
      <c r="BM87" s="152">
        <f t="shared" si="172"/>
        <v>22000000</v>
      </c>
      <c r="BN87" s="152">
        <f t="shared" si="172"/>
        <v>22000000</v>
      </c>
      <c r="BO87" s="152">
        <f t="shared" si="172"/>
        <v>22000000</v>
      </c>
      <c r="BP87" s="152">
        <f t="shared" si="172"/>
        <v>22000000</v>
      </c>
      <c r="BQ87" s="152">
        <f t="shared" si="172"/>
        <v>22000000</v>
      </c>
      <c r="BR87" s="152">
        <f t="shared" si="172"/>
        <v>22000000</v>
      </c>
      <c r="BS87" s="152">
        <f t="shared" si="172"/>
        <v>22000000</v>
      </c>
      <c r="BT87" s="156">
        <f t="shared" si="169"/>
        <v>198000000</v>
      </c>
      <c r="BU87" s="158"/>
      <c r="BV87" s="145"/>
      <c r="BW87" s="145"/>
      <c r="BX87" s="159"/>
      <c r="BY87" s="157">
        <f t="shared" ref="BY87:CP87" si="173">SUM(BY88:BY90)</f>
        <v>41500000</v>
      </c>
      <c r="BZ87" s="152">
        <f t="shared" si="173"/>
        <v>53500000</v>
      </c>
      <c r="CA87" s="152">
        <f t="shared" si="173"/>
        <v>55000000</v>
      </c>
      <c r="CB87" s="152">
        <f t="shared" si="173"/>
        <v>54500000</v>
      </c>
      <c r="CC87" s="152">
        <f t="shared" si="173"/>
        <v>24500000</v>
      </c>
      <c r="CD87" s="152">
        <f t="shared" si="173"/>
        <v>24500000</v>
      </c>
      <c r="CE87" s="152">
        <f t="shared" si="173"/>
        <v>24500000</v>
      </c>
      <c r="CF87" s="152">
        <f t="shared" si="173"/>
        <v>54500000</v>
      </c>
      <c r="CG87" s="156">
        <f t="shared" si="173"/>
        <v>24500000</v>
      </c>
      <c r="CH87" s="157">
        <f t="shared" si="173"/>
        <v>19500000</v>
      </c>
      <c r="CI87" s="152">
        <f t="shared" si="173"/>
        <v>31500000</v>
      </c>
      <c r="CJ87" s="152">
        <f t="shared" si="173"/>
        <v>33000000</v>
      </c>
      <c r="CK87" s="152">
        <f t="shared" si="173"/>
        <v>32500000</v>
      </c>
      <c r="CL87" s="152">
        <f t="shared" si="173"/>
        <v>2500000</v>
      </c>
      <c r="CM87" s="152">
        <f t="shared" si="173"/>
        <v>2500000</v>
      </c>
      <c r="CN87" s="152">
        <f t="shared" si="173"/>
        <v>2500000</v>
      </c>
      <c r="CO87" s="152">
        <f t="shared" si="173"/>
        <v>32500000</v>
      </c>
      <c r="CP87" s="152">
        <f t="shared" si="173"/>
        <v>2500000</v>
      </c>
      <c r="CQ87" s="156">
        <f t="shared" si="166"/>
        <v>159000000</v>
      </c>
      <c r="CR87" s="158"/>
      <c r="CS87" s="160">
        <f>SUM(CS88:CS90)</f>
        <v>270000</v>
      </c>
      <c r="CT87" s="145"/>
      <c r="CU87" s="145"/>
      <c r="CV87" s="145"/>
      <c r="CW87" s="145"/>
      <c r="CX87" s="145"/>
      <c r="CY87" s="152">
        <f>SUM(CY88:CY90)</f>
        <v>10500000</v>
      </c>
      <c r="CZ87" s="151"/>
      <c r="DA87" s="162"/>
      <c r="DB87" s="381"/>
      <c r="DC87" s="381"/>
      <c r="DD87" s="506"/>
      <c r="DE87" s="381"/>
    </row>
    <row r="88" spans="1:109" ht="26.1" customHeight="1" x14ac:dyDescent="0.25">
      <c r="A88" s="204" t="s">
        <v>85</v>
      </c>
      <c r="B88" s="205" t="s">
        <v>743</v>
      </c>
      <c r="C88" s="204" t="s">
        <v>470</v>
      </c>
      <c r="D88" s="205" t="s">
        <v>356</v>
      </c>
      <c r="E88" s="47" t="s">
        <v>4</v>
      </c>
      <c r="F88" s="48" t="s">
        <v>404</v>
      </c>
      <c r="G88" s="48" t="s">
        <v>394</v>
      </c>
      <c r="H88" s="48" t="s">
        <v>132</v>
      </c>
      <c r="I88" s="49" t="s">
        <v>245</v>
      </c>
      <c r="J88" s="49" t="s">
        <v>230</v>
      </c>
      <c r="K88" s="206"/>
      <c r="L88" s="207"/>
      <c r="M88" s="208"/>
      <c r="O88" s="204" t="s">
        <v>470</v>
      </c>
      <c r="P88" s="47" t="s">
        <v>4</v>
      </c>
      <c r="Q88" s="48" t="s">
        <v>404</v>
      </c>
      <c r="R88" s="48" t="s">
        <v>314</v>
      </c>
      <c r="S88" s="48" t="s">
        <v>314</v>
      </c>
      <c r="T88" s="48"/>
      <c r="U88" s="48"/>
      <c r="V88" s="48"/>
      <c r="W88" s="48"/>
      <c r="X88" s="48" t="s">
        <v>307</v>
      </c>
      <c r="Y88" s="48"/>
      <c r="Z88" s="48"/>
      <c r="AA88" s="48"/>
      <c r="AB88" s="48"/>
      <c r="AC88" s="48"/>
      <c r="AD88" s="48"/>
      <c r="AE88" s="48"/>
      <c r="AF88" s="209"/>
      <c r="AG88" s="47"/>
      <c r="AH88" s="210" t="s">
        <v>319</v>
      </c>
      <c r="AI88" s="68" t="s">
        <v>385</v>
      </c>
      <c r="AJ88" s="438">
        <v>0.65</v>
      </c>
      <c r="AK88" s="438">
        <v>0.1</v>
      </c>
      <c r="AL88" s="438">
        <v>0.1</v>
      </c>
      <c r="AM88" s="438">
        <v>0.1</v>
      </c>
      <c r="AN88" s="438">
        <v>0.1</v>
      </c>
      <c r="AO88" s="438">
        <v>0.1</v>
      </c>
      <c r="AP88" s="438">
        <v>0.1</v>
      </c>
      <c r="AQ88" s="438">
        <v>0.1</v>
      </c>
      <c r="AR88" s="438">
        <v>0.1</v>
      </c>
      <c r="AS88" s="438">
        <v>0.1</v>
      </c>
      <c r="AT88" s="436"/>
      <c r="AU88" s="436"/>
      <c r="AV88" s="438">
        <v>0.4</v>
      </c>
      <c r="AW88" s="438">
        <v>0.5</v>
      </c>
      <c r="AX88" s="438">
        <v>0.6</v>
      </c>
      <c r="AY88" s="438">
        <v>0.8</v>
      </c>
      <c r="AZ88" s="438">
        <v>0.9</v>
      </c>
      <c r="BA88" s="438">
        <v>1</v>
      </c>
      <c r="BB88" s="438">
        <v>1</v>
      </c>
      <c r="BC88" s="438">
        <v>1</v>
      </c>
      <c r="BD88" s="438">
        <v>1</v>
      </c>
      <c r="BE88" s="215">
        <v>1</v>
      </c>
      <c r="BF88" s="344">
        <v>1</v>
      </c>
      <c r="BG88" s="206" t="s">
        <v>311</v>
      </c>
      <c r="BH88" s="68" t="s">
        <v>321</v>
      </c>
      <c r="BI88" s="48" t="s">
        <v>313</v>
      </c>
      <c r="BJ88" s="269">
        <v>22000000</v>
      </c>
      <c r="BK88" s="212">
        <v>22000000</v>
      </c>
      <c r="BL88" s="170">
        <v>22000000</v>
      </c>
      <c r="BM88" s="170">
        <v>22000000</v>
      </c>
      <c r="BN88" s="170">
        <v>22000000</v>
      </c>
      <c r="BO88" s="170">
        <v>22000000</v>
      </c>
      <c r="BP88" s="170">
        <v>22000000</v>
      </c>
      <c r="BQ88" s="170">
        <v>22000000</v>
      </c>
      <c r="BR88" s="170">
        <v>22000000</v>
      </c>
      <c r="BS88" s="170">
        <v>22000000</v>
      </c>
      <c r="BT88" s="213">
        <f t="shared" si="169"/>
        <v>198000000</v>
      </c>
      <c r="BU88" s="242">
        <v>1</v>
      </c>
      <c r="BV88" s="48"/>
      <c r="BW88" s="48"/>
      <c r="BX88" s="243"/>
      <c r="BY88" s="212">
        <v>25000000</v>
      </c>
      <c r="BZ88" s="170">
        <v>31500000</v>
      </c>
      <c r="CA88" s="170">
        <v>33000000</v>
      </c>
      <c r="CB88" s="170">
        <v>49000000</v>
      </c>
      <c r="CC88" s="170">
        <v>19000000</v>
      </c>
      <c r="CD88" s="170">
        <v>19000000</v>
      </c>
      <c r="CE88" s="170">
        <v>19000000</v>
      </c>
      <c r="CF88" s="170">
        <v>49000000</v>
      </c>
      <c r="CG88" s="213">
        <v>19000000</v>
      </c>
      <c r="CH88" s="212">
        <f t="shared" ref="CH88:CI90" si="174">+BY88-BK88</f>
        <v>3000000</v>
      </c>
      <c r="CI88" s="170">
        <f t="shared" si="174"/>
        <v>9500000</v>
      </c>
      <c r="CJ88" s="170">
        <f t="shared" ref="CJ88:CP90" si="175">+CA88-BM88</f>
        <v>11000000</v>
      </c>
      <c r="CK88" s="170">
        <f t="shared" si="175"/>
        <v>27000000</v>
      </c>
      <c r="CL88" s="170">
        <f t="shared" si="175"/>
        <v>-3000000</v>
      </c>
      <c r="CM88" s="170">
        <f t="shared" si="175"/>
        <v>-3000000</v>
      </c>
      <c r="CN88" s="170">
        <f t="shared" si="175"/>
        <v>-3000000</v>
      </c>
      <c r="CO88" s="170">
        <f t="shared" si="175"/>
        <v>27000000</v>
      </c>
      <c r="CP88" s="170">
        <f t="shared" si="175"/>
        <v>-3000000</v>
      </c>
      <c r="CQ88" s="213">
        <f t="shared" si="166"/>
        <v>65500000</v>
      </c>
      <c r="CR88" s="219"/>
      <c r="CS88" s="220"/>
      <c r="CT88" s="220"/>
      <c r="CU88" s="210"/>
      <c r="CV88" s="210"/>
      <c r="CW88" s="210"/>
      <c r="CX88" s="210"/>
      <c r="CY88" s="221">
        <f>+CQ88-CS88*550</f>
        <v>65500000</v>
      </c>
      <c r="CZ88" s="222"/>
      <c r="DA88" s="246"/>
      <c r="DB88" s="381"/>
      <c r="DC88" s="381"/>
      <c r="DD88" s="506"/>
      <c r="DE88" s="381"/>
    </row>
    <row r="89" spans="1:109" ht="26.1" customHeight="1" x14ac:dyDescent="0.25">
      <c r="A89" s="312" t="s">
        <v>86</v>
      </c>
      <c r="B89" s="205" t="s">
        <v>744</v>
      </c>
      <c r="C89" s="422" t="s">
        <v>86</v>
      </c>
      <c r="D89" s="205" t="s">
        <v>357</v>
      </c>
      <c r="E89" s="47" t="s">
        <v>1</v>
      </c>
      <c r="F89" s="50" t="s">
        <v>658</v>
      </c>
      <c r="G89" s="48" t="s">
        <v>87</v>
      </c>
      <c r="H89" s="48" t="s">
        <v>133</v>
      </c>
      <c r="I89" s="49"/>
      <c r="J89" s="49" t="s">
        <v>230</v>
      </c>
      <c r="K89" s="206"/>
      <c r="L89" s="207"/>
      <c r="M89" s="208"/>
      <c r="O89" s="312" t="s">
        <v>86</v>
      </c>
      <c r="P89" s="345" t="s">
        <v>4</v>
      </c>
      <c r="Q89" s="346" t="s">
        <v>87</v>
      </c>
      <c r="R89" s="255" t="s">
        <v>314</v>
      </c>
      <c r="S89" s="255" t="s">
        <v>314</v>
      </c>
      <c r="T89" s="255" t="s">
        <v>314</v>
      </c>
      <c r="U89" s="255"/>
      <c r="V89" s="255" t="s">
        <v>314</v>
      </c>
      <c r="W89" s="255"/>
      <c r="X89" s="255" t="s">
        <v>307</v>
      </c>
      <c r="Y89" s="255"/>
      <c r="Z89" s="255"/>
      <c r="AA89" s="255"/>
      <c r="AB89" s="255"/>
      <c r="AC89" s="255"/>
      <c r="AD89" s="255"/>
      <c r="AE89" s="255"/>
      <c r="AF89" s="333"/>
      <c r="AG89" s="332"/>
      <c r="AH89" s="255"/>
      <c r="AI89" s="255" t="s">
        <v>480</v>
      </c>
      <c r="AJ89" s="170"/>
      <c r="AK89" s="170">
        <v>0</v>
      </c>
      <c r="AL89" s="170">
        <v>0</v>
      </c>
      <c r="AM89" s="170">
        <v>0</v>
      </c>
      <c r="AN89" s="170">
        <v>0</v>
      </c>
      <c r="AO89" s="170">
        <v>0</v>
      </c>
      <c r="AP89" s="170">
        <v>0</v>
      </c>
      <c r="AQ89" s="170">
        <v>0</v>
      </c>
      <c r="AR89" s="170">
        <v>0</v>
      </c>
      <c r="AS89" s="170">
        <v>0</v>
      </c>
      <c r="AT89" s="272"/>
      <c r="AU89" s="272"/>
      <c r="AV89" s="272">
        <v>0</v>
      </c>
      <c r="AW89" s="272">
        <v>0</v>
      </c>
      <c r="AX89" s="272">
        <v>0</v>
      </c>
      <c r="AY89" s="272">
        <v>0</v>
      </c>
      <c r="AZ89" s="272">
        <v>1</v>
      </c>
      <c r="BA89" s="272">
        <v>0</v>
      </c>
      <c r="BB89" s="272">
        <v>0</v>
      </c>
      <c r="BC89" s="272">
        <v>0</v>
      </c>
      <c r="BD89" s="272">
        <v>0</v>
      </c>
      <c r="BE89" s="272"/>
      <c r="BF89" s="334"/>
      <c r="BG89" s="332"/>
      <c r="BH89" s="68" t="s">
        <v>349</v>
      </c>
      <c r="BI89" s="335" t="s">
        <v>323</v>
      </c>
      <c r="BJ89" s="336"/>
      <c r="BK89" s="212">
        <v>0</v>
      </c>
      <c r="BL89" s="170">
        <v>0</v>
      </c>
      <c r="BM89" s="170">
        <v>0</v>
      </c>
      <c r="BN89" s="170">
        <v>0</v>
      </c>
      <c r="BO89" s="170">
        <v>0</v>
      </c>
      <c r="BP89" s="170">
        <v>0</v>
      </c>
      <c r="BQ89" s="170">
        <v>0</v>
      </c>
      <c r="BR89" s="170">
        <v>0</v>
      </c>
      <c r="BS89" s="170">
        <v>0</v>
      </c>
      <c r="BT89" s="213">
        <f t="shared" si="169"/>
        <v>0</v>
      </c>
      <c r="BU89" s="338"/>
      <c r="BV89" s="255"/>
      <c r="BW89" s="255"/>
      <c r="BX89" s="336"/>
      <c r="BY89" s="337">
        <f>20000*550</f>
        <v>11000000</v>
      </c>
      <c r="BZ89" s="272">
        <f>30000*550</f>
        <v>16500000</v>
      </c>
      <c r="CA89" s="272">
        <f>30000*550</f>
        <v>16500000</v>
      </c>
      <c r="CB89" s="272">
        <v>0</v>
      </c>
      <c r="CC89" s="272">
        <v>0</v>
      </c>
      <c r="CD89" s="272">
        <v>0</v>
      </c>
      <c r="CE89" s="272">
        <v>0</v>
      </c>
      <c r="CF89" s="272">
        <v>0</v>
      </c>
      <c r="CG89" s="339">
        <v>0</v>
      </c>
      <c r="CH89" s="217">
        <f t="shared" si="174"/>
        <v>11000000</v>
      </c>
      <c r="CI89" s="170">
        <f t="shared" si="174"/>
        <v>16500000</v>
      </c>
      <c r="CJ89" s="170">
        <f t="shared" si="175"/>
        <v>16500000</v>
      </c>
      <c r="CK89" s="170">
        <f t="shared" si="175"/>
        <v>0</v>
      </c>
      <c r="CL89" s="170">
        <f t="shared" si="175"/>
        <v>0</v>
      </c>
      <c r="CM89" s="170">
        <f t="shared" si="175"/>
        <v>0</v>
      </c>
      <c r="CN89" s="170">
        <f t="shared" si="175"/>
        <v>0</v>
      </c>
      <c r="CO89" s="170">
        <f t="shared" si="175"/>
        <v>0</v>
      </c>
      <c r="CP89" s="170">
        <f t="shared" si="175"/>
        <v>0</v>
      </c>
      <c r="CQ89" s="218">
        <f t="shared" si="166"/>
        <v>44000000</v>
      </c>
      <c r="CR89" s="338"/>
      <c r="CS89" s="220">
        <v>80000</v>
      </c>
      <c r="CT89" s="255"/>
      <c r="CU89" s="255"/>
      <c r="CV89" s="255"/>
      <c r="CW89" s="255"/>
      <c r="CX89" s="255"/>
      <c r="CY89" s="221">
        <f>+CQ89-CS89*550</f>
        <v>0</v>
      </c>
      <c r="CZ89" s="333"/>
      <c r="DA89" s="246"/>
      <c r="DB89" s="381"/>
      <c r="DC89" s="381"/>
      <c r="DD89" s="506"/>
      <c r="DE89" s="381"/>
    </row>
    <row r="90" spans="1:109" ht="26.1" customHeight="1" x14ac:dyDescent="0.25">
      <c r="A90" s="204" t="s">
        <v>88</v>
      </c>
      <c r="B90" s="205" t="s">
        <v>745</v>
      </c>
      <c r="C90" s="204" t="s">
        <v>88</v>
      </c>
      <c r="D90" s="205" t="s">
        <v>356</v>
      </c>
      <c r="E90" s="47" t="s">
        <v>2</v>
      </c>
      <c r="F90" s="48" t="s">
        <v>403</v>
      </c>
      <c r="G90" s="48" t="s">
        <v>393</v>
      </c>
      <c r="H90" s="48" t="s">
        <v>134</v>
      </c>
      <c r="I90" s="49" t="s">
        <v>245</v>
      </c>
      <c r="J90" s="49" t="s">
        <v>230</v>
      </c>
      <c r="K90" s="206"/>
      <c r="L90" s="207"/>
      <c r="M90" s="208"/>
      <c r="O90" s="204" t="s">
        <v>88</v>
      </c>
      <c r="P90" s="47" t="s">
        <v>3</v>
      </c>
      <c r="Q90" s="48" t="s">
        <v>403</v>
      </c>
      <c r="R90" s="48"/>
      <c r="S90" s="48" t="s">
        <v>314</v>
      </c>
      <c r="T90" s="48"/>
      <c r="U90" s="48" t="s">
        <v>307</v>
      </c>
      <c r="V90" s="48"/>
      <c r="W90" s="48"/>
      <c r="X90" s="48" t="s">
        <v>314</v>
      </c>
      <c r="Y90" s="48"/>
      <c r="Z90" s="48" t="s">
        <v>314</v>
      </c>
      <c r="AA90" s="48"/>
      <c r="AB90" s="48"/>
      <c r="AC90" s="48" t="s">
        <v>314</v>
      </c>
      <c r="AD90" s="48" t="s">
        <v>314</v>
      </c>
      <c r="AE90" s="48"/>
      <c r="AF90" s="209"/>
      <c r="AG90" s="47" t="s">
        <v>315</v>
      </c>
      <c r="AH90" s="210" t="s">
        <v>316</v>
      </c>
      <c r="AI90" s="68" t="s">
        <v>346</v>
      </c>
      <c r="AJ90" s="170"/>
      <c r="AK90" s="170">
        <v>0</v>
      </c>
      <c r="AL90" s="170">
        <v>0</v>
      </c>
      <c r="AM90" s="170">
        <v>0</v>
      </c>
      <c r="AN90" s="170">
        <v>0</v>
      </c>
      <c r="AO90" s="170">
        <v>0</v>
      </c>
      <c r="AP90" s="170">
        <v>0</v>
      </c>
      <c r="AQ90" s="170">
        <v>0</v>
      </c>
      <c r="AR90" s="170">
        <v>0</v>
      </c>
      <c r="AS90" s="170">
        <v>0</v>
      </c>
      <c r="AT90" s="170"/>
      <c r="AU90" s="170"/>
      <c r="AV90" s="170">
        <v>2</v>
      </c>
      <c r="AW90" s="170">
        <v>2</v>
      </c>
      <c r="AX90" s="170">
        <v>2</v>
      </c>
      <c r="AY90" s="170">
        <v>2</v>
      </c>
      <c r="AZ90" s="170">
        <v>2</v>
      </c>
      <c r="BA90" s="170">
        <v>2</v>
      </c>
      <c r="BB90" s="170">
        <v>2</v>
      </c>
      <c r="BC90" s="170">
        <v>2</v>
      </c>
      <c r="BD90" s="170">
        <v>2</v>
      </c>
      <c r="BE90" s="170"/>
      <c r="BF90" s="260"/>
      <c r="BG90" s="206" t="s">
        <v>334</v>
      </c>
      <c r="BH90" s="68" t="s">
        <v>312</v>
      </c>
      <c r="BI90" s="48" t="s">
        <v>323</v>
      </c>
      <c r="BJ90" s="241"/>
      <c r="BK90" s="212">
        <v>0</v>
      </c>
      <c r="BL90" s="170">
        <v>0</v>
      </c>
      <c r="BM90" s="170">
        <v>0</v>
      </c>
      <c r="BN90" s="170">
        <v>0</v>
      </c>
      <c r="BO90" s="170">
        <v>0</v>
      </c>
      <c r="BP90" s="170">
        <v>0</v>
      </c>
      <c r="BQ90" s="170">
        <v>0</v>
      </c>
      <c r="BR90" s="170">
        <v>0</v>
      </c>
      <c r="BS90" s="170">
        <v>0</v>
      </c>
      <c r="BT90" s="213">
        <f t="shared" si="169"/>
        <v>0</v>
      </c>
      <c r="BU90" s="245"/>
      <c r="BV90" s="48"/>
      <c r="BW90" s="48"/>
      <c r="BX90" s="243"/>
      <c r="BY90" s="212">
        <f>10000*550</f>
        <v>5500000</v>
      </c>
      <c r="BZ90" s="170">
        <f t="shared" ref="BZ90:CG90" si="176">10000*550</f>
        <v>5500000</v>
      </c>
      <c r="CA90" s="170">
        <f t="shared" si="176"/>
        <v>5500000</v>
      </c>
      <c r="CB90" s="170">
        <f t="shared" si="176"/>
        <v>5500000</v>
      </c>
      <c r="CC90" s="170">
        <f t="shared" si="176"/>
        <v>5500000</v>
      </c>
      <c r="CD90" s="170">
        <f t="shared" si="176"/>
        <v>5500000</v>
      </c>
      <c r="CE90" s="170">
        <f t="shared" si="176"/>
        <v>5500000</v>
      </c>
      <c r="CF90" s="170">
        <f t="shared" si="176"/>
        <v>5500000</v>
      </c>
      <c r="CG90" s="213">
        <f t="shared" si="176"/>
        <v>5500000</v>
      </c>
      <c r="CH90" s="217">
        <f t="shared" si="174"/>
        <v>5500000</v>
      </c>
      <c r="CI90" s="170">
        <f t="shared" si="174"/>
        <v>5500000</v>
      </c>
      <c r="CJ90" s="170">
        <f t="shared" si="175"/>
        <v>5500000</v>
      </c>
      <c r="CK90" s="170">
        <f t="shared" si="175"/>
        <v>5500000</v>
      </c>
      <c r="CL90" s="170">
        <f t="shared" si="175"/>
        <v>5500000</v>
      </c>
      <c r="CM90" s="170">
        <f t="shared" si="175"/>
        <v>5500000</v>
      </c>
      <c r="CN90" s="170">
        <f t="shared" si="175"/>
        <v>5500000</v>
      </c>
      <c r="CO90" s="170">
        <f t="shared" si="175"/>
        <v>5500000</v>
      </c>
      <c r="CP90" s="170">
        <f t="shared" si="175"/>
        <v>5500000</v>
      </c>
      <c r="CQ90" s="218">
        <f t="shared" si="166"/>
        <v>49500000</v>
      </c>
      <c r="CR90" s="219"/>
      <c r="CS90" s="220">
        <v>190000</v>
      </c>
      <c r="CT90" s="220" t="s">
        <v>347</v>
      </c>
      <c r="CU90" s="210"/>
      <c r="CV90" s="210"/>
      <c r="CW90" s="210"/>
      <c r="CX90" s="210"/>
      <c r="CY90" s="221">
        <f>+CQ90-CS90*550</f>
        <v>-55000000</v>
      </c>
      <c r="CZ90" s="222"/>
      <c r="DA90" s="246"/>
      <c r="DB90" s="381"/>
      <c r="DC90" s="381"/>
      <c r="DD90" s="506"/>
      <c r="DE90" s="381"/>
    </row>
    <row r="91" spans="1:109" ht="26.1" customHeight="1" x14ac:dyDescent="0.25">
      <c r="A91" s="143" t="s">
        <v>89</v>
      </c>
      <c r="B91" s="144" t="s">
        <v>746</v>
      </c>
      <c r="C91" s="143" t="s">
        <v>89</v>
      </c>
      <c r="D91" s="144" t="s">
        <v>356</v>
      </c>
      <c r="E91" s="59" t="s">
        <v>2</v>
      </c>
      <c r="F91" s="145"/>
      <c r="G91" s="60"/>
      <c r="H91" s="61"/>
      <c r="I91" s="62"/>
      <c r="J91" s="62"/>
      <c r="K91" s="147" t="s">
        <v>259</v>
      </c>
      <c r="L91" s="148"/>
      <c r="M91" s="149"/>
      <c r="O91" s="143" t="s">
        <v>89</v>
      </c>
      <c r="P91" s="150"/>
      <c r="Q91" s="145"/>
      <c r="R91" s="145"/>
      <c r="S91" s="145"/>
      <c r="T91" s="145"/>
      <c r="U91" s="145"/>
      <c r="V91" s="145"/>
      <c r="W91" s="145"/>
      <c r="X91" s="145"/>
      <c r="Y91" s="145"/>
      <c r="Z91" s="145"/>
      <c r="AA91" s="145"/>
      <c r="AB91" s="145"/>
      <c r="AC91" s="145"/>
      <c r="AD91" s="145"/>
      <c r="AE91" s="145"/>
      <c r="AF91" s="151"/>
      <c r="AG91" s="150"/>
      <c r="AH91" s="145"/>
      <c r="AI91" s="145"/>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254"/>
      <c r="BG91" s="150"/>
      <c r="BH91" s="154" t="s">
        <v>356</v>
      </c>
      <c r="BI91" s="155"/>
      <c r="BJ91" s="156">
        <f>SUM(BJ92:BJ94)</f>
        <v>0</v>
      </c>
      <c r="BK91" s="157">
        <f>SUM(BK92:BK94)</f>
        <v>0</v>
      </c>
      <c r="BL91" s="152">
        <f>SUM(BL92:BL94)</f>
        <v>0</v>
      </c>
      <c r="BM91" s="152">
        <f t="shared" ref="BM91:BS91" si="177">SUM(BM92:BM94)</f>
        <v>0</v>
      </c>
      <c r="BN91" s="152">
        <f t="shared" si="177"/>
        <v>0</v>
      </c>
      <c r="BO91" s="152">
        <f t="shared" si="177"/>
        <v>0</v>
      </c>
      <c r="BP91" s="152">
        <f t="shared" si="177"/>
        <v>0</v>
      </c>
      <c r="BQ91" s="152">
        <f t="shared" si="177"/>
        <v>0</v>
      </c>
      <c r="BR91" s="152">
        <f t="shared" si="177"/>
        <v>0</v>
      </c>
      <c r="BS91" s="152">
        <f t="shared" si="177"/>
        <v>0</v>
      </c>
      <c r="BT91" s="156">
        <f t="shared" si="169"/>
        <v>0</v>
      </c>
      <c r="BU91" s="158"/>
      <c r="BV91" s="145"/>
      <c r="BW91" s="145"/>
      <c r="BX91" s="159"/>
      <c r="BY91" s="157">
        <f>SUM(BY92:BY94)</f>
        <v>50930000</v>
      </c>
      <c r="BZ91" s="152">
        <f>SUM(BZ92:BZ94)</f>
        <v>51673600</v>
      </c>
      <c r="CA91" s="152">
        <f t="shared" ref="CA91:CF91" si="178">SUM(CA92:CA94)</f>
        <v>52432072</v>
      </c>
      <c r="CB91" s="152">
        <f t="shared" si="178"/>
        <v>53205713.439999998</v>
      </c>
      <c r="CC91" s="152">
        <f t="shared" si="178"/>
        <v>53994827.708799995</v>
      </c>
      <c r="CD91" s="152">
        <f t="shared" si="178"/>
        <v>54799724.262975998</v>
      </c>
      <c r="CE91" s="152">
        <f t="shared" si="178"/>
        <v>55620718.748235516</v>
      </c>
      <c r="CF91" s="152">
        <f t="shared" si="178"/>
        <v>56458133.12320023</v>
      </c>
      <c r="CG91" s="156">
        <f t="shared" ref="CG91:CP91" si="179">SUM(CG92:CG94)</f>
        <v>57312295.785664238</v>
      </c>
      <c r="CH91" s="157">
        <f t="shared" si="179"/>
        <v>50930000</v>
      </c>
      <c r="CI91" s="152">
        <f t="shared" si="179"/>
        <v>51673600</v>
      </c>
      <c r="CJ91" s="152">
        <f t="shared" si="179"/>
        <v>52432072</v>
      </c>
      <c r="CK91" s="152">
        <f t="shared" si="179"/>
        <v>53205713.439999998</v>
      </c>
      <c r="CL91" s="152">
        <f t="shared" si="179"/>
        <v>53994827.708799995</v>
      </c>
      <c r="CM91" s="152">
        <f t="shared" si="179"/>
        <v>54799724.262975998</v>
      </c>
      <c r="CN91" s="152">
        <f t="shared" si="179"/>
        <v>55620718.748235516</v>
      </c>
      <c r="CO91" s="152">
        <f t="shared" si="179"/>
        <v>56458133.12320023</v>
      </c>
      <c r="CP91" s="152">
        <f t="shared" si="179"/>
        <v>57312295.785664238</v>
      </c>
      <c r="CQ91" s="156">
        <f t="shared" si="166"/>
        <v>486427085.06887603</v>
      </c>
      <c r="CR91" s="158"/>
      <c r="CS91" s="160">
        <f>SUM(CS92:CS94)</f>
        <v>238000</v>
      </c>
      <c r="CT91" s="145"/>
      <c r="CU91" s="145"/>
      <c r="CV91" s="145"/>
      <c r="CW91" s="145"/>
      <c r="CX91" s="145"/>
      <c r="CY91" s="152">
        <f>SUM(CY92:CY94)</f>
        <v>355527085.06887597</v>
      </c>
      <c r="CZ91" s="151"/>
      <c r="DA91" s="162"/>
      <c r="DB91" s="381"/>
      <c r="DC91" s="381"/>
      <c r="DD91" s="506"/>
      <c r="DE91" s="381"/>
    </row>
    <row r="92" spans="1:109" ht="26.1" customHeight="1" x14ac:dyDescent="0.25">
      <c r="A92" s="204" t="s">
        <v>90</v>
      </c>
      <c r="B92" s="205" t="s">
        <v>747</v>
      </c>
      <c r="C92" s="204" t="s">
        <v>90</v>
      </c>
      <c r="D92" s="205" t="s">
        <v>357</v>
      </c>
      <c r="E92" s="47" t="s">
        <v>2</v>
      </c>
      <c r="F92" s="48" t="s">
        <v>403</v>
      </c>
      <c r="G92" s="48" t="s">
        <v>393</v>
      </c>
      <c r="H92" s="48" t="s">
        <v>135</v>
      </c>
      <c r="I92" s="49"/>
      <c r="J92" s="49" t="s">
        <v>230</v>
      </c>
      <c r="K92" s="206"/>
      <c r="L92" s="207"/>
      <c r="M92" s="208"/>
      <c r="O92" s="204" t="s">
        <v>90</v>
      </c>
      <c r="P92" s="47" t="s">
        <v>81</v>
      </c>
      <c r="Q92" s="48" t="s">
        <v>403</v>
      </c>
      <c r="R92" s="48"/>
      <c r="S92" s="48" t="s">
        <v>314</v>
      </c>
      <c r="T92" s="48"/>
      <c r="U92" s="48" t="s">
        <v>307</v>
      </c>
      <c r="V92" s="48"/>
      <c r="W92" s="48"/>
      <c r="X92" s="48" t="s">
        <v>314</v>
      </c>
      <c r="Y92" s="48"/>
      <c r="Z92" s="48"/>
      <c r="AA92" s="48" t="s">
        <v>314</v>
      </c>
      <c r="AB92" s="48" t="s">
        <v>314</v>
      </c>
      <c r="AC92" s="48"/>
      <c r="AD92" s="48"/>
      <c r="AE92" s="48" t="s">
        <v>314</v>
      </c>
      <c r="AF92" s="209"/>
      <c r="AG92" s="47" t="s">
        <v>315</v>
      </c>
      <c r="AH92" s="210" t="s">
        <v>319</v>
      </c>
      <c r="AI92" s="68" t="s">
        <v>348</v>
      </c>
      <c r="AJ92" s="170"/>
      <c r="AK92" s="170">
        <v>0</v>
      </c>
      <c r="AL92" s="170">
        <v>0</v>
      </c>
      <c r="AM92" s="170">
        <v>0</v>
      </c>
      <c r="AN92" s="170">
        <v>0</v>
      </c>
      <c r="AO92" s="170">
        <v>0</v>
      </c>
      <c r="AP92" s="170">
        <v>0</v>
      </c>
      <c r="AQ92" s="170">
        <v>0</v>
      </c>
      <c r="AR92" s="170">
        <v>0</v>
      </c>
      <c r="AS92" s="170">
        <v>0</v>
      </c>
      <c r="AT92" s="170"/>
      <c r="AU92" s="170"/>
      <c r="AV92" s="170">
        <v>0</v>
      </c>
      <c r="AW92" s="170">
        <v>1</v>
      </c>
      <c r="AX92" s="170">
        <v>0</v>
      </c>
      <c r="AY92" s="170">
        <v>1</v>
      </c>
      <c r="AZ92" s="170">
        <v>0</v>
      </c>
      <c r="BA92" s="170">
        <v>1</v>
      </c>
      <c r="BB92" s="170">
        <v>0</v>
      </c>
      <c r="BC92" s="170">
        <v>1</v>
      </c>
      <c r="BD92" s="170">
        <v>0</v>
      </c>
      <c r="BE92" s="170"/>
      <c r="BF92" s="260"/>
      <c r="BG92" s="206" t="s">
        <v>330</v>
      </c>
      <c r="BH92" s="68" t="s">
        <v>349</v>
      </c>
      <c r="BI92" s="48" t="s">
        <v>313</v>
      </c>
      <c r="BJ92" s="241"/>
      <c r="BK92" s="212">
        <v>0</v>
      </c>
      <c r="BL92" s="170">
        <v>0</v>
      </c>
      <c r="BM92" s="170">
        <v>0</v>
      </c>
      <c r="BN92" s="170">
        <v>0</v>
      </c>
      <c r="BO92" s="170">
        <v>0</v>
      </c>
      <c r="BP92" s="170">
        <v>0</v>
      </c>
      <c r="BQ92" s="170">
        <v>0</v>
      </c>
      <c r="BR92" s="170">
        <v>0</v>
      </c>
      <c r="BS92" s="170">
        <v>0</v>
      </c>
      <c r="BT92" s="213">
        <f t="shared" ref="BT92:BT98" si="180">SUM(BK92:BS92)</f>
        <v>0</v>
      </c>
      <c r="BU92" s="245"/>
      <c r="BV92" s="48"/>
      <c r="BW92" s="48"/>
      <c r="BX92" s="243"/>
      <c r="BY92" s="212">
        <f>1000*550</f>
        <v>550000</v>
      </c>
      <c r="BZ92" s="170">
        <f t="shared" ref="BZ92:CG92" si="181">1000*550</f>
        <v>550000</v>
      </c>
      <c r="CA92" s="170">
        <f t="shared" si="181"/>
        <v>550000</v>
      </c>
      <c r="CB92" s="170">
        <f t="shared" si="181"/>
        <v>550000</v>
      </c>
      <c r="CC92" s="170">
        <f t="shared" si="181"/>
        <v>550000</v>
      </c>
      <c r="CD92" s="170">
        <f t="shared" si="181"/>
        <v>550000</v>
      </c>
      <c r="CE92" s="170">
        <f t="shared" si="181"/>
        <v>550000</v>
      </c>
      <c r="CF92" s="170">
        <f t="shared" si="181"/>
        <v>550000</v>
      </c>
      <c r="CG92" s="213">
        <f t="shared" si="181"/>
        <v>550000</v>
      </c>
      <c r="CH92" s="217">
        <f t="shared" ref="CH92:CP94" si="182">+BY92-BK92</f>
        <v>550000</v>
      </c>
      <c r="CI92" s="170">
        <f t="shared" si="182"/>
        <v>550000</v>
      </c>
      <c r="CJ92" s="170">
        <f t="shared" si="182"/>
        <v>550000</v>
      </c>
      <c r="CK92" s="170">
        <f t="shared" si="182"/>
        <v>550000</v>
      </c>
      <c r="CL92" s="170">
        <f t="shared" si="182"/>
        <v>550000</v>
      </c>
      <c r="CM92" s="170">
        <f t="shared" si="182"/>
        <v>550000</v>
      </c>
      <c r="CN92" s="170">
        <f t="shared" si="182"/>
        <v>550000</v>
      </c>
      <c r="CO92" s="170">
        <f t="shared" si="182"/>
        <v>550000</v>
      </c>
      <c r="CP92" s="170">
        <f t="shared" si="182"/>
        <v>550000</v>
      </c>
      <c r="CQ92" s="218">
        <f t="shared" si="166"/>
        <v>4950000</v>
      </c>
      <c r="CR92" s="219"/>
      <c r="CS92" s="220"/>
      <c r="CT92" s="220"/>
      <c r="CU92" s="210"/>
      <c r="CV92" s="210"/>
      <c r="CW92" s="210"/>
      <c r="CX92" s="210"/>
      <c r="CY92" s="221">
        <f>+CQ92-CS92*550</f>
        <v>4950000</v>
      </c>
      <c r="CZ92" s="222"/>
      <c r="DA92" s="246"/>
      <c r="DB92" s="381"/>
      <c r="DC92" s="381"/>
      <c r="DD92" s="506"/>
      <c r="DE92" s="381"/>
    </row>
    <row r="93" spans="1:109" ht="26.1" customHeight="1" x14ac:dyDescent="0.25">
      <c r="A93" s="204" t="s">
        <v>91</v>
      </c>
      <c r="B93" s="205" t="s">
        <v>748</v>
      </c>
      <c r="C93" s="204" t="s">
        <v>91</v>
      </c>
      <c r="D93" s="205" t="s">
        <v>356</v>
      </c>
      <c r="E93" s="47" t="s">
        <v>2</v>
      </c>
      <c r="F93" s="48" t="s">
        <v>403</v>
      </c>
      <c r="G93" s="48" t="s">
        <v>393</v>
      </c>
      <c r="H93" s="48" t="s">
        <v>136</v>
      </c>
      <c r="I93" s="49"/>
      <c r="J93" s="49" t="s">
        <v>234</v>
      </c>
      <c r="K93" s="206"/>
      <c r="L93" s="207"/>
      <c r="M93" s="208"/>
      <c r="O93" s="204" t="s">
        <v>91</v>
      </c>
      <c r="P93" s="47" t="s">
        <v>81</v>
      </c>
      <c r="Q93" s="48" t="s">
        <v>403</v>
      </c>
      <c r="R93" s="48"/>
      <c r="S93" s="48" t="s">
        <v>314</v>
      </c>
      <c r="T93" s="48"/>
      <c r="U93" s="48" t="s">
        <v>307</v>
      </c>
      <c r="V93" s="48"/>
      <c r="W93" s="48"/>
      <c r="X93" s="48" t="s">
        <v>314</v>
      </c>
      <c r="Y93" s="48"/>
      <c r="Z93" s="48"/>
      <c r="AA93" s="48"/>
      <c r="AB93" s="48"/>
      <c r="AC93" s="48"/>
      <c r="AD93" s="48"/>
      <c r="AE93" s="48"/>
      <c r="AF93" s="209"/>
      <c r="AG93" s="47" t="s">
        <v>315</v>
      </c>
      <c r="AH93" s="210" t="s">
        <v>319</v>
      </c>
      <c r="AI93" s="68" t="s">
        <v>350</v>
      </c>
      <c r="AJ93" s="170"/>
      <c r="AK93" s="170">
        <v>0</v>
      </c>
      <c r="AL93" s="170">
        <v>0</v>
      </c>
      <c r="AM93" s="170">
        <v>0</v>
      </c>
      <c r="AN93" s="170">
        <v>0</v>
      </c>
      <c r="AO93" s="170">
        <v>0</v>
      </c>
      <c r="AP93" s="170">
        <v>0</v>
      </c>
      <c r="AQ93" s="170">
        <v>0</v>
      </c>
      <c r="AR93" s="170">
        <v>0</v>
      </c>
      <c r="AS93" s="170">
        <v>0</v>
      </c>
      <c r="AT93" s="170"/>
      <c r="AU93" s="170"/>
      <c r="AV93" s="170">
        <v>1</v>
      </c>
      <c r="AW93" s="170">
        <v>1</v>
      </c>
      <c r="AX93" s="170">
        <v>1</v>
      </c>
      <c r="AY93" s="170">
        <v>1</v>
      </c>
      <c r="AZ93" s="170">
        <v>1</v>
      </c>
      <c r="BA93" s="170">
        <v>1</v>
      </c>
      <c r="BB93" s="170">
        <v>1</v>
      </c>
      <c r="BC93" s="170">
        <v>1</v>
      </c>
      <c r="BD93" s="170">
        <v>1</v>
      </c>
      <c r="BE93" s="170"/>
      <c r="BF93" s="260"/>
      <c r="BG93" s="206" t="s">
        <v>330</v>
      </c>
      <c r="BH93" s="68" t="s">
        <v>321</v>
      </c>
      <c r="BI93" s="48" t="s">
        <v>323</v>
      </c>
      <c r="BJ93" s="241"/>
      <c r="BK93" s="212">
        <v>0</v>
      </c>
      <c r="BL93" s="170">
        <v>0</v>
      </c>
      <c r="BM93" s="170">
        <v>0</v>
      </c>
      <c r="BN93" s="170">
        <v>0</v>
      </c>
      <c r="BO93" s="170">
        <v>0</v>
      </c>
      <c r="BP93" s="170">
        <v>0</v>
      </c>
      <c r="BQ93" s="170">
        <v>0</v>
      </c>
      <c r="BR93" s="170">
        <v>0</v>
      </c>
      <c r="BS93" s="170">
        <v>0</v>
      </c>
      <c r="BT93" s="213">
        <f t="shared" si="180"/>
        <v>0</v>
      </c>
      <c r="BU93" s="245"/>
      <c r="BV93" s="48"/>
      <c r="BW93" s="48"/>
      <c r="BX93" s="243"/>
      <c r="BY93" s="212">
        <f>1300*550*13*4</f>
        <v>37180000</v>
      </c>
      <c r="BZ93" s="170">
        <f>+BY93*1.02</f>
        <v>37923600</v>
      </c>
      <c r="CA93" s="170">
        <f t="shared" ref="CA93:CG93" si="183">+BZ93*1.02</f>
        <v>38682072</v>
      </c>
      <c r="CB93" s="170">
        <f t="shared" si="183"/>
        <v>39455713.439999998</v>
      </c>
      <c r="CC93" s="170">
        <f t="shared" si="183"/>
        <v>40244827.708799995</v>
      </c>
      <c r="CD93" s="170">
        <f t="shared" si="183"/>
        <v>41049724.262975998</v>
      </c>
      <c r="CE93" s="170">
        <f t="shared" si="183"/>
        <v>41870718.748235516</v>
      </c>
      <c r="CF93" s="170">
        <f t="shared" si="183"/>
        <v>42708133.12320023</v>
      </c>
      <c r="CG93" s="213">
        <f t="shared" si="183"/>
        <v>43562295.785664238</v>
      </c>
      <c r="CH93" s="217">
        <f t="shared" si="182"/>
        <v>37180000</v>
      </c>
      <c r="CI93" s="170">
        <f t="shared" si="182"/>
        <v>37923600</v>
      </c>
      <c r="CJ93" s="170">
        <f t="shared" si="182"/>
        <v>38682072</v>
      </c>
      <c r="CK93" s="170">
        <f t="shared" si="182"/>
        <v>39455713.439999998</v>
      </c>
      <c r="CL93" s="170">
        <f t="shared" si="182"/>
        <v>40244827.708799995</v>
      </c>
      <c r="CM93" s="170">
        <f t="shared" si="182"/>
        <v>41049724.262975998</v>
      </c>
      <c r="CN93" s="170">
        <f t="shared" si="182"/>
        <v>41870718.748235516</v>
      </c>
      <c r="CO93" s="170">
        <f t="shared" si="182"/>
        <v>42708133.12320023</v>
      </c>
      <c r="CP93" s="170">
        <f t="shared" si="182"/>
        <v>43562295.785664238</v>
      </c>
      <c r="CQ93" s="218">
        <f t="shared" si="166"/>
        <v>362677085.06887597</v>
      </c>
      <c r="CR93" s="219"/>
      <c r="CS93" s="220"/>
      <c r="CT93" s="220"/>
      <c r="CU93" s="210"/>
      <c r="CV93" s="210"/>
      <c r="CW93" s="210"/>
      <c r="CX93" s="210"/>
      <c r="CY93" s="221">
        <f>+CQ93-CS93*550</f>
        <v>362677085.06887597</v>
      </c>
      <c r="CZ93" s="222"/>
      <c r="DA93" s="246"/>
      <c r="DB93" s="381"/>
      <c r="DC93" s="381"/>
      <c r="DD93" s="506"/>
      <c r="DE93" s="381"/>
    </row>
    <row r="94" spans="1:109" ht="26.1" customHeight="1" x14ac:dyDescent="0.25">
      <c r="A94" s="204" t="s">
        <v>92</v>
      </c>
      <c r="B94" s="205" t="s">
        <v>749</v>
      </c>
      <c r="C94" s="204" t="s">
        <v>466</v>
      </c>
      <c r="D94" s="205" t="s">
        <v>356</v>
      </c>
      <c r="E94" s="47" t="s">
        <v>2</v>
      </c>
      <c r="F94" s="48" t="s">
        <v>403</v>
      </c>
      <c r="G94" s="48" t="s">
        <v>393</v>
      </c>
      <c r="H94" s="48" t="s">
        <v>137</v>
      </c>
      <c r="I94" s="49"/>
      <c r="J94" s="49" t="s">
        <v>229</v>
      </c>
      <c r="K94" s="206"/>
      <c r="L94" s="207"/>
      <c r="M94" s="208"/>
      <c r="O94" s="204" t="s">
        <v>466</v>
      </c>
      <c r="P94" s="47" t="s">
        <v>81</v>
      </c>
      <c r="Q94" s="48" t="s">
        <v>403</v>
      </c>
      <c r="R94" s="48" t="s">
        <v>314</v>
      </c>
      <c r="S94" s="48" t="s">
        <v>314</v>
      </c>
      <c r="T94" s="48"/>
      <c r="U94" s="48" t="s">
        <v>307</v>
      </c>
      <c r="V94" s="48" t="s">
        <v>314</v>
      </c>
      <c r="W94" s="48"/>
      <c r="X94" s="48" t="s">
        <v>314</v>
      </c>
      <c r="Y94" s="48"/>
      <c r="Z94" s="48"/>
      <c r="AA94" s="48" t="s">
        <v>314</v>
      </c>
      <c r="AB94" s="48"/>
      <c r="AC94" s="48" t="s">
        <v>314</v>
      </c>
      <c r="AD94" s="48" t="s">
        <v>314</v>
      </c>
      <c r="AE94" s="48" t="s">
        <v>314</v>
      </c>
      <c r="AF94" s="209"/>
      <c r="AG94" s="47" t="s">
        <v>315</v>
      </c>
      <c r="AH94" s="210" t="s">
        <v>319</v>
      </c>
      <c r="AI94" s="68" t="s">
        <v>467</v>
      </c>
      <c r="AJ94" s="170"/>
      <c r="AK94" s="170">
        <v>0</v>
      </c>
      <c r="AL94" s="170">
        <v>0</v>
      </c>
      <c r="AM94" s="170">
        <v>0</v>
      </c>
      <c r="AN94" s="170">
        <v>0</v>
      </c>
      <c r="AO94" s="170">
        <v>0</v>
      </c>
      <c r="AP94" s="170">
        <v>0</v>
      </c>
      <c r="AQ94" s="170">
        <v>0</v>
      </c>
      <c r="AR94" s="170">
        <v>0</v>
      </c>
      <c r="AS94" s="170">
        <v>0</v>
      </c>
      <c r="AT94" s="170"/>
      <c r="AU94" s="170"/>
      <c r="AV94" s="170">
        <v>1</v>
      </c>
      <c r="AW94" s="170">
        <v>1</v>
      </c>
      <c r="AX94" s="170">
        <v>1</v>
      </c>
      <c r="AY94" s="170">
        <v>1</v>
      </c>
      <c r="AZ94" s="170">
        <v>1</v>
      </c>
      <c r="BA94" s="170">
        <v>1</v>
      </c>
      <c r="BB94" s="170">
        <v>1</v>
      </c>
      <c r="BC94" s="170">
        <v>1</v>
      </c>
      <c r="BD94" s="170">
        <v>1</v>
      </c>
      <c r="BE94" s="170"/>
      <c r="BF94" s="260"/>
      <c r="BG94" s="206" t="s">
        <v>330</v>
      </c>
      <c r="BH94" s="68" t="s">
        <v>321</v>
      </c>
      <c r="BI94" s="48" t="s">
        <v>323</v>
      </c>
      <c r="BJ94" s="241"/>
      <c r="BK94" s="212">
        <v>0</v>
      </c>
      <c r="BL94" s="170">
        <v>0</v>
      </c>
      <c r="BM94" s="170">
        <v>0</v>
      </c>
      <c r="BN94" s="170">
        <v>0</v>
      </c>
      <c r="BO94" s="170">
        <v>0</v>
      </c>
      <c r="BP94" s="170">
        <v>0</v>
      </c>
      <c r="BQ94" s="170">
        <v>0</v>
      </c>
      <c r="BR94" s="170">
        <v>0</v>
      </c>
      <c r="BS94" s="170">
        <v>0</v>
      </c>
      <c r="BT94" s="213">
        <f t="shared" si="180"/>
        <v>0</v>
      </c>
      <c r="BU94" s="245"/>
      <c r="BV94" s="48"/>
      <c r="BW94" s="48"/>
      <c r="BX94" s="243"/>
      <c r="BY94" s="212">
        <f>24000*550</f>
        <v>13200000</v>
      </c>
      <c r="BZ94" s="170">
        <f>24000*550</f>
        <v>13200000</v>
      </c>
      <c r="CA94" s="170">
        <f t="shared" ref="CA94:CG94" si="184">24000*550</f>
        <v>13200000</v>
      </c>
      <c r="CB94" s="170">
        <f t="shared" si="184"/>
        <v>13200000</v>
      </c>
      <c r="CC94" s="170">
        <f t="shared" si="184"/>
        <v>13200000</v>
      </c>
      <c r="CD94" s="170">
        <f t="shared" si="184"/>
        <v>13200000</v>
      </c>
      <c r="CE94" s="170">
        <f t="shared" si="184"/>
        <v>13200000</v>
      </c>
      <c r="CF94" s="170">
        <f t="shared" si="184"/>
        <v>13200000</v>
      </c>
      <c r="CG94" s="213">
        <f t="shared" si="184"/>
        <v>13200000</v>
      </c>
      <c r="CH94" s="217">
        <f t="shared" si="182"/>
        <v>13200000</v>
      </c>
      <c r="CI94" s="170">
        <f t="shared" si="182"/>
        <v>13200000</v>
      </c>
      <c r="CJ94" s="170">
        <f t="shared" si="182"/>
        <v>13200000</v>
      </c>
      <c r="CK94" s="170">
        <f t="shared" si="182"/>
        <v>13200000</v>
      </c>
      <c r="CL94" s="170">
        <f t="shared" si="182"/>
        <v>13200000</v>
      </c>
      <c r="CM94" s="170">
        <f t="shared" si="182"/>
        <v>13200000</v>
      </c>
      <c r="CN94" s="170">
        <f t="shared" si="182"/>
        <v>13200000</v>
      </c>
      <c r="CO94" s="170">
        <f t="shared" si="182"/>
        <v>13200000</v>
      </c>
      <c r="CP94" s="170">
        <f t="shared" si="182"/>
        <v>13200000</v>
      </c>
      <c r="CQ94" s="218">
        <f t="shared" si="166"/>
        <v>118800000</v>
      </c>
      <c r="CR94" s="219"/>
      <c r="CS94" s="220">
        <f>178000+60000</f>
        <v>238000</v>
      </c>
      <c r="CT94" s="220" t="s">
        <v>351</v>
      </c>
      <c r="CU94" s="210"/>
      <c r="CV94" s="210"/>
      <c r="CW94" s="210"/>
      <c r="CX94" s="210"/>
      <c r="CY94" s="221">
        <f>+CQ94-CS94*550</f>
        <v>-12100000</v>
      </c>
      <c r="CZ94" s="222"/>
      <c r="DA94" s="246"/>
      <c r="DB94" s="381"/>
      <c r="DC94" s="381"/>
      <c r="DD94" s="506"/>
      <c r="DE94" s="381"/>
    </row>
    <row r="95" spans="1:109" ht="26.1" customHeight="1" x14ac:dyDescent="0.25">
      <c r="A95" s="143" t="s">
        <v>93</v>
      </c>
      <c r="B95" s="144" t="s">
        <v>750</v>
      </c>
      <c r="C95" s="143" t="s">
        <v>93</v>
      </c>
      <c r="D95" s="144" t="s">
        <v>356</v>
      </c>
      <c r="E95" s="59" t="s">
        <v>2</v>
      </c>
      <c r="F95" s="145"/>
      <c r="G95" s="60"/>
      <c r="H95" s="61"/>
      <c r="I95" s="62"/>
      <c r="J95" s="62"/>
      <c r="K95" s="147" t="s">
        <v>259</v>
      </c>
      <c r="L95" s="148"/>
      <c r="M95" s="149"/>
      <c r="O95" s="143" t="s">
        <v>93</v>
      </c>
      <c r="P95" s="150"/>
      <c r="Q95" s="145"/>
      <c r="R95" s="145"/>
      <c r="S95" s="145"/>
      <c r="T95" s="145"/>
      <c r="U95" s="145"/>
      <c r="V95" s="145"/>
      <c r="W95" s="145"/>
      <c r="X95" s="145"/>
      <c r="Y95" s="145"/>
      <c r="Z95" s="145"/>
      <c r="AA95" s="145"/>
      <c r="AB95" s="145"/>
      <c r="AC95" s="145"/>
      <c r="AD95" s="145"/>
      <c r="AE95" s="145"/>
      <c r="AF95" s="151"/>
      <c r="AG95" s="150"/>
      <c r="AH95" s="145"/>
      <c r="AI95" s="145"/>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254"/>
      <c r="BG95" s="150"/>
      <c r="BH95" s="154" t="s">
        <v>356</v>
      </c>
      <c r="BI95" s="155"/>
      <c r="BJ95" s="156">
        <f t="shared" ref="BJ95:BS95" si="185">SUM(BJ96)</f>
        <v>27500000</v>
      </c>
      <c r="BK95" s="157">
        <f t="shared" si="185"/>
        <v>0</v>
      </c>
      <c r="BL95" s="152">
        <f t="shared" si="185"/>
        <v>0</v>
      </c>
      <c r="BM95" s="152">
        <f t="shared" si="185"/>
        <v>0</v>
      </c>
      <c r="BN95" s="152">
        <f t="shared" si="185"/>
        <v>0</v>
      </c>
      <c r="BO95" s="152">
        <f t="shared" si="185"/>
        <v>0</v>
      </c>
      <c r="BP95" s="152">
        <f t="shared" si="185"/>
        <v>0</v>
      </c>
      <c r="BQ95" s="152">
        <f t="shared" si="185"/>
        <v>0</v>
      </c>
      <c r="BR95" s="152">
        <f t="shared" si="185"/>
        <v>0</v>
      </c>
      <c r="BS95" s="152">
        <f t="shared" si="185"/>
        <v>0</v>
      </c>
      <c r="BT95" s="156">
        <f t="shared" si="180"/>
        <v>0</v>
      </c>
      <c r="BU95" s="158"/>
      <c r="BV95" s="145"/>
      <c r="BW95" s="145"/>
      <c r="BX95" s="159"/>
      <c r="BY95" s="157">
        <f t="shared" ref="BY95:CP95" si="186">SUM(BY96)</f>
        <v>35750000</v>
      </c>
      <c r="BZ95" s="152">
        <f t="shared" si="186"/>
        <v>0</v>
      </c>
      <c r="CA95" s="152">
        <f t="shared" si="186"/>
        <v>24750000</v>
      </c>
      <c r="CB95" s="152">
        <f t="shared" si="186"/>
        <v>0</v>
      </c>
      <c r="CC95" s="152">
        <f t="shared" si="186"/>
        <v>24750000</v>
      </c>
      <c r="CD95" s="152">
        <f t="shared" si="186"/>
        <v>0</v>
      </c>
      <c r="CE95" s="152">
        <f t="shared" si="186"/>
        <v>0</v>
      </c>
      <c r="CF95" s="152">
        <f t="shared" si="186"/>
        <v>0</v>
      </c>
      <c r="CG95" s="156">
        <f t="shared" si="186"/>
        <v>0</v>
      </c>
      <c r="CH95" s="157">
        <f t="shared" si="186"/>
        <v>35750000</v>
      </c>
      <c r="CI95" s="152">
        <f t="shared" si="186"/>
        <v>0</v>
      </c>
      <c r="CJ95" s="152">
        <f t="shared" si="186"/>
        <v>24750000</v>
      </c>
      <c r="CK95" s="152">
        <f t="shared" si="186"/>
        <v>0</v>
      </c>
      <c r="CL95" s="152">
        <f t="shared" si="186"/>
        <v>24750000</v>
      </c>
      <c r="CM95" s="152">
        <f t="shared" si="186"/>
        <v>0</v>
      </c>
      <c r="CN95" s="152">
        <f t="shared" si="186"/>
        <v>0</v>
      </c>
      <c r="CO95" s="152">
        <f t="shared" si="186"/>
        <v>0</v>
      </c>
      <c r="CP95" s="152">
        <f t="shared" si="186"/>
        <v>0</v>
      </c>
      <c r="CQ95" s="156">
        <f t="shared" si="166"/>
        <v>85250000</v>
      </c>
      <c r="CR95" s="158"/>
      <c r="CS95" s="160">
        <f>SUM(CS96)</f>
        <v>0</v>
      </c>
      <c r="CT95" s="145"/>
      <c r="CU95" s="145"/>
      <c r="CV95" s="145"/>
      <c r="CW95" s="145"/>
      <c r="CX95" s="145"/>
      <c r="CY95" s="161">
        <f>SUM(CY96)</f>
        <v>85250000</v>
      </c>
      <c r="CZ95" s="151"/>
      <c r="DA95" s="162"/>
      <c r="DB95" s="381"/>
      <c r="DC95" s="381"/>
      <c r="DD95" s="506"/>
      <c r="DE95" s="381"/>
    </row>
    <row r="96" spans="1:109" ht="26.1" customHeight="1" x14ac:dyDescent="0.25">
      <c r="A96" s="204" t="s">
        <v>94</v>
      </c>
      <c r="B96" s="205" t="s">
        <v>751</v>
      </c>
      <c r="C96" s="204" t="s">
        <v>94</v>
      </c>
      <c r="D96" s="205" t="s">
        <v>356</v>
      </c>
      <c r="E96" s="47" t="s">
        <v>2</v>
      </c>
      <c r="F96" s="48" t="s">
        <v>403</v>
      </c>
      <c r="G96" s="48" t="s">
        <v>393</v>
      </c>
      <c r="H96" s="48" t="s">
        <v>138</v>
      </c>
      <c r="I96" s="49" t="s">
        <v>245</v>
      </c>
      <c r="J96" s="49" t="s">
        <v>230</v>
      </c>
      <c r="K96" s="206"/>
      <c r="L96" s="207"/>
      <c r="M96" s="208"/>
      <c r="O96" s="204" t="s">
        <v>94</v>
      </c>
      <c r="P96" s="47" t="s">
        <v>3</v>
      </c>
      <c r="Q96" s="48" t="s">
        <v>403</v>
      </c>
      <c r="R96" s="48"/>
      <c r="S96" s="48" t="s">
        <v>314</v>
      </c>
      <c r="T96" s="48" t="s">
        <v>314</v>
      </c>
      <c r="U96" s="48" t="s">
        <v>307</v>
      </c>
      <c r="V96" s="48"/>
      <c r="W96" s="48"/>
      <c r="X96" s="48" t="s">
        <v>314</v>
      </c>
      <c r="Y96" s="48"/>
      <c r="Z96" s="48"/>
      <c r="AA96" s="48"/>
      <c r="AB96" s="48"/>
      <c r="AC96" s="48" t="s">
        <v>314</v>
      </c>
      <c r="AD96" s="48"/>
      <c r="AE96" s="48"/>
      <c r="AF96" s="209"/>
      <c r="AG96" s="47" t="s">
        <v>315</v>
      </c>
      <c r="AH96" s="210" t="s">
        <v>319</v>
      </c>
      <c r="AI96" s="68" t="s">
        <v>352</v>
      </c>
      <c r="AJ96" s="170">
        <v>1</v>
      </c>
      <c r="AK96" s="170">
        <v>0</v>
      </c>
      <c r="AL96" s="170">
        <v>0</v>
      </c>
      <c r="AM96" s="170">
        <v>0</v>
      </c>
      <c r="AN96" s="170">
        <v>0</v>
      </c>
      <c r="AO96" s="170">
        <v>0</v>
      </c>
      <c r="AP96" s="170">
        <v>0</v>
      </c>
      <c r="AQ96" s="170">
        <v>0</v>
      </c>
      <c r="AR96" s="170">
        <v>0</v>
      </c>
      <c r="AS96" s="170">
        <v>0</v>
      </c>
      <c r="AT96" s="170"/>
      <c r="AU96" s="170"/>
      <c r="AV96" s="170">
        <v>1</v>
      </c>
      <c r="AW96" s="170">
        <v>0</v>
      </c>
      <c r="AX96" s="170">
        <v>0</v>
      </c>
      <c r="AY96" s="170">
        <v>0</v>
      </c>
      <c r="AZ96" s="170">
        <v>0</v>
      </c>
      <c r="BA96" s="170">
        <v>0</v>
      </c>
      <c r="BB96" s="170">
        <v>0</v>
      </c>
      <c r="BC96" s="170">
        <v>0</v>
      </c>
      <c r="BD96" s="170">
        <v>0</v>
      </c>
      <c r="BE96" s="170"/>
      <c r="BF96" s="260"/>
      <c r="BG96" s="206" t="s">
        <v>334</v>
      </c>
      <c r="BH96" s="68" t="s">
        <v>321</v>
      </c>
      <c r="BI96" s="48" t="s">
        <v>313</v>
      </c>
      <c r="BJ96" s="269">
        <f>50000*550</f>
        <v>27500000</v>
      </c>
      <c r="BK96" s="212">
        <v>0</v>
      </c>
      <c r="BL96" s="170">
        <v>0</v>
      </c>
      <c r="BM96" s="170">
        <v>0</v>
      </c>
      <c r="BN96" s="170">
        <v>0</v>
      </c>
      <c r="BO96" s="170">
        <v>0</v>
      </c>
      <c r="BP96" s="170">
        <v>0</v>
      </c>
      <c r="BQ96" s="170">
        <v>0</v>
      </c>
      <c r="BR96" s="170">
        <v>0</v>
      </c>
      <c r="BS96" s="170">
        <v>0</v>
      </c>
      <c r="BT96" s="213">
        <f t="shared" si="180"/>
        <v>0</v>
      </c>
      <c r="BU96" s="245"/>
      <c r="BV96" s="48"/>
      <c r="BW96" s="48"/>
      <c r="BX96" s="243"/>
      <c r="BY96" s="212">
        <f>65000*550</f>
        <v>35750000</v>
      </c>
      <c r="BZ96" s="170">
        <v>0</v>
      </c>
      <c r="CA96" s="170">
        <f>45000*550</f>
        <v>24750000</v>
      </c>
      <c r="CB96" s="170">
        <v>0</v>
      </c>
      <c r="CC96" s="170">
        <f>45000*550</f>
        <v>24750000</v>
      </c>
      <c r="CD96" s="170">
        <v>0</v>
      </c>
      <c r="CE96" s="170">
        <v>0</v>
      </c>
      <c r="CF96" s="170">
        <v>0</v>
      </c>
      <c r="CG96" s="213">
        <v>0</v>
      </c>
      <c r="CH96" s="217">
        <f t="shared" ref="CH96:CP96" si="187">+BY96-BK96</f>
        <v>35750000</v>
      </c>
      <c r="CI96" s="170">
        <f t="shared" si="187"/>
        <v>0</v>
      </c>
      <c r="CJ96" s="170">
        <f t="shared" si="187"/>
        <v>24750000</v>
      </c>
      <c r="CK96" s="170">
        <f t="shared" si="187"/>
        <v>0</v>
      </c>
      <c r="CL96" s="170">
        <f t="shared" si="187"/>
        <v>24750000</v>
      </c>
      <c r="CM96" s="170">
        <f t="shared" si="187"/>
        <v>0</v>
      </c>
      <c r="CN96" s="170">
        <f t="shared" si="187"/>
        <v>0</v>
      </c>
      <c r="CO96" s="170">
        <f t="shared" si="187"/>
        <v>0</v>
      </c>
      <c r="CP96" s="170">
        <f t="shared" si="187"/>
        <v>0</v>
      </c>
      <c r="CQ96" s="218">
        <f t="shared" si="166"/>
        <v>85250000</v>
      </c>
      <c r="CR96" s="219"/>
      <c r="CS96" s="239"/>
      <c r="CT96" s="239"/>
      <c r="CU96" s="210"/>
      <c r="CV96" s="210"/>
      <c r="CW96" s="210"/>
      <c r="CX96" s="210"/>
      <c r="CY96" s="221">
        <f>+CQ96-CS96*550</f>
        <v>85250000</v>
      </c>
      <c r="CZ96" s="222"/>
      <c r="DA96" s="246"/>
      <c r="DB96" s="381"/>
      <c r="DC96" s="381"/>
      <c r="DD96" s="506"/>
      <c r="DE96" s="381"/>
    </row>
    <row r="97" spans="1:109" ht="26.1" customHeight="1" x14ac:dyDescent="0.25">
      <c r="A97" s="143" t="s">
        <v>95</v>
      </c>
      <c r="B97" s="144" t="s">
        <v>752</v>
      </c>
      <c r="C97" s="143" t="s">
        <v>95</v>
      </c>
      <c r="D97" s="144" t="s">
        <v>355</v>
      </c>
      <c r="E97" s="59" t="s">
        <v>2</v>
      </c>
      <c r="F97" s="145"/>
      <c r="G97" s="60"/>
      <c r="H97" s="61"/>
      <c r="I97" s="62"/>
      <c r="J97" s="62"/>
      <c r="K97" s="147" t="s">
        <v>259</v>
      </c>
      <c r="L97" s="148"/>
      <c r="M97" s="149"/>
      <c r="O97" s="143" t="s">
        <v>95</v>
      </c>
      <c r="P97" s="150"/>
      <c r="Q97" s="145"/>
      <c r="R97" s="145"/>
      <c r="S97" s="145"/>
      <c r="T97" s="145"/>
      <c r="U97" s="145"/>
      <c r="V97" s="145"/>
      <c r="W97" s="145"/>
      <c r="X97" s="145"/>
      <c r="Y97" s="145"/>
      <c r="Z97" s="145"/>
      <c r="AA97" s="145"/>
      <c r="AB97" s="145"/>
      <c r="AC97" s="145"/>
      <c r="AD97" s="145"/>
      <c r="AE97" s="145"/>
      <c r="AF97" s="151"/>
      <c r="AG97" s="150"/>
      <c r="AH97" s="145"/>
      <c r="AI97" s="145"/>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254"/>
      <c r="BG97" s="150"/>
      <c r="BH97" s="154" t="s">
        <v>355</v>
      </c>
      <c r="BI97" s="155"/>
      <c r="BJ97" s="156">
        <f>SUM(BJ98)</f>
        <v>0</v>
      </c>
      <c r="BK97" s="157">
        <f>SUM(BK98)</f>
        <v>0</v>
      </c>
      <c r="BL97" s="152">
        <f>SUM(BL98)</f>
        <v>0</v>
      </c>
      <c r="BM97" s="152">
        <f t="shared" ref="BM97:BS97" si="188">SUM(BM98)</f>
        <v>0</v>
      </c>
      <c r="BN97" s="152">
        <f t="shared" si="188"/>
        <v>0</v>
      </c>
      <c r="BO97" s="152">
        <f t="shared" si="188"/>
        <v>0</v>
      </c>
      <c r="BP97" s="152">
        <f t="shared" si="188"/>
        <v>0</v>
      </c>
      <c r="BQ97" s="152">
        <f t="shared" si="188"/>
        <v>0</v>
      </c>
      <c r="BR97" s="152">
        <f t="shared" si="188"/>
        <v>0</v>
      </c>
      <c r="BS97" s="152">
        <f t="shared" si="188"/>
        <v>0</v>
      </c>
      <c r="BT97" s="156">
        <f t="shared" si="180"/>
        <v>0</v>
      </c>
      <c r="BU97" s="158"/>
      <c r="BV97" s="145"/>
      <c r="BW97" s="145"/>
      <c r="BX97" s="159"/>
      <c r="BY97" s="157">
        <f t="shared" ref="BY97:CP97" si="189">SUM(BY98)</f>
        <v>20625000</v>
      </c>
      <c r="BZ97" s="152">
        <f t="shared" si="189"/>
        <v>0</v>
      </c>
      <c r="CA97" s="152">
        <f t="shared" si="189"/>
        <v>0</v>
      </c>
      <c r="CB97" s="152">
        <f t="shared" si="189"/>
        <v>0</v>
      </c>
      <c r="CC97" s="152">
        <f t="shared" si="189"/>
        <v>0</v>
      </c>
      <c r="CD97" s="152">
        <f t="shared" si="189"/>
        <v>0</v>
      </c>
      <c r="CE97" s="152">
        <f t="shared" si="189"/>
        <v>0</v>
      </c>
      <c r="CF97" s="152">
        <f t="shared" si="189"/>
        <v>0</v>
      </c>
      <c r="CG97" s="156">
        <f t="shared" si="189"/>
        <v>0</v>
      </c>
      <c r="CH97" s="157">
        <f t="shared" si="189"/>
        <v>20625000</v>
      </c>
      <c r="CI97" s="152">
        <f t="shared" si="189"/>
        <v>0</v>
      </c>
      <c r="CJ97" s="152">
        <f t="shared" si="189"/>
        <v>0</v>
      </c>
      <c r="CK97" s="152">
        <f t="shared" si="189"/>
        <v>0</v>
      </c>
      <c r="CL97" s="152">
        <f t="shared" si="189"/>
        <v>0</v>
      </c>
      <c r="CM97" s="152">
        <f t="shared" si="189"/>
        <v>0</v>
      </c>
      <c r="CN97" s="152">
        <f t="shared" si="189"/>
        <v>0</v>
      </c>
      <c r="CO97" s="152">
        <f t="shared" si="189"/>
        <v>0</v>
      </c>
      <c r="CP97" s="152">
        <f t="shared" si="189"/>
        <v>0</v>
      </c>
      <c r="CQ97" s="156">
        <f t="shared" si="166"/>
        <v>20625000</v>
      </c>
      <c r="CR97" s="158"/>
      <c r="CS97" s="160">
        <f>SUM(CS98)</f>
        <v>0</v>
      </c>
      <c r="CT97" s="145"/>
      <c r="CU97" s="145"/>
      <c r="CV97" s="145"/>
      <c r="CW97" s="145"/>
      <c r="CX97" s="145"/>
      <c r="CY97" s="161">
        <f>SUM(CY98)</f>
        <v>20625000</v>
      </c>
      <c r="CZ97" s="151"/>
      <c r="DA97" s="162"/>
      <c r="DB97" s="381"/>
      <c r="DC97" s="381"/>
      <c r="DD97" s="506"/>
      <c r="DE97" s="381"/>
    </row>
    <row r="98" spans="1:109" ht="26.1" customHeight="1" thickBot="1" x14ac:dyDescent="0.3">
      <c r="A98" s="204" t="s">
        <v>96</v>
      </c>
      <c r="B98" s="205" t="s">
        <v>753</v>
      </c>
      <c r="C98" s="204" t="s">
        <v>96</v>
      </c>
      <c r="D98" s="205" t="s">
        <v>355</v>
      </c>
      <c r="E98" s="47" t="s">
        <v>2</v>
      </c>
      <c r="F98" s="48" t="s">
        <v>403</v>
      </c>
      <c r="G98" s="48" t="s">
        <v>393</v>
      </c>
      <c r="H98" s="48" t="s">
        <v>139</v>
      </c>
      <c r="I98" s="51" t="s">
        <v>245</v>
      </c>
      <c r="J98" s="51" t="s">
        <v>230</v>
      </c>
      <c r="K98" s="347"/>
      <c r="L98" s="348"/>
      <c r="M98" s="349"/>
      <c r="O98" s="204" t="s">
        <v>96</v>
      </c>
      <c r="P98" s="47" t="s">
        <v>3</v>
      </c>
      <c r="Q98" s="48" t="s">
        <v>403</v>
      </c>
      <c r="R98" s="48" t="s">
        <v>314</v>
      </c>
      <c r="S98" s="48" t="s">
        <v>314</v>
      </c>
      <c r="T98" s="48" t="s">
        <v>314</v>
      </c>
      <c r="U98" s="48" t="s">
        <v>307</v>
      </c>
      <c r="V98" s="48"/>
      <c r="W98" s="48"/>
      <c r="X98" s="48" t="s">
        <v>314</v>
      </c>
      <c r="Y98" s="48"/>
      <c r="Z98" s="48"/>
      <c r="AA98" s="48"/>
      <c r="AB98" s="48"/>
      <c r="AC98" s="48"/>
      <c r="AD98" s="48"/>
      <c r="AE98" s="48"/>
      <c r="AF98" s="209"/>
      <c r="AG98" s="47" t="s">
        <v>315</v>
      </c>
      <c r="AH98" s="210" t="s">
        <v>319</v>
      </c>
      <c r="AI98" s="68" t="s">
        <v>353</v>
      </c>
      <c r="AJ98" s="170"/>
      <c r="AK98" s="170">
        <v>0</v>
      </c>
      <c r="AL98" s="170">
        <v>0</v>
      </c>
      <c r="AM98" s="170">
        <v>0</v>
      </c>
      <c r="AN98" s="170">
        <v>0</v>
      </c>
      <c r="AO98" s="170">
        <v>0</v>
      </c>
      <c r="AP98" s="170">
        <v>0</v>
      </c>
      <c r="AQ98" s="170">
        <v>0</v>
      </c>
      <c r="AR98" s="170">
        <v>0</v>
      </c>
      <c r="AS98" s="170">
        <v>0</v>
      </c>
      <c r="AT98" s="170"/>
      <c r="AU98" s="170"/>
      <c r="AV98" s="170">
        <v>1</v>
      </c>
      <c r="AW98" s="170">
        <v>0</v>
      </c>
      <c r="AX98" s="170">
        <v>0</v>
      </c>
      <c r="AY98" s="170">
        <v>0</v>
      </c>
      <c r="AZ98" s="170">
        <v>0</v>
      </c>
      <c r="BA98" s="170">
        <v>0</v>
      </c>
      <c r="BB98" s="170">
        <v>0</v>
      </c>
      <c r="BC98" s="170">
        <v>0</v>
      </c>
      <c r="BD98" s="170">
        <v>0</v>
      </c>
      <c r="BE98" s="170"/>
      <c r="BF98" s="260"/>
      <c r="BG98" s="206" t="s">
        <v>334</v>
      </c>
      <c r="BH98" s="68" t="s">
        <v>312</v>
      </c>
      <c r="BI98" s="48" t="s">
        <v>313</v>
      </c>
      <c r="BJ98" s="241"/>
      <c r="BK98" s="212">
        <v>0</v>
      </c>
      <c r="BL98" s="170">
        <v>0</v>
      </c>
      <c r="BM98" s="170">
        <v>0</v>
      </c>
      <c r="BN98" s="170">
        <v>0</v>
      </c>
      <c r="BO98" s="170">
        <v>0</v>
      </c>
      <c r="BP98" s="170">
        <v>0</v>
      </c>
      <c r="BQ98" s="170">
        <v>0</v>
      </c>
      <c r="BR98" s="170">
        <v>0</v>
      </c>
      <c r="BS98" s="170">
        <v>0</v>
      </c>
      <c r="BT98" s="213">
        <f t="shared" si="180"/>
        <v>0</v>
      </c>
      <c r="BU98" s="245"/>
      <c r="BV98" s="48"/>
      <c r="BW98" s="48"/>
      <c r="BX98" s="243"/>
      <c r="BY98" s="212">
        <f>5*5000*550+5*2500*550</f>
        <v>20625000</v>
      </c>
      <c r="BZ98" s="170">
        <v>0</v>
      </c>
      <c r="CA98" s="170">
        <v>0</v>
      </c>
      <c r="CB98" s="170">
        <v>0</v>
      </c>
      <c r="CC98" s="170">
        <v>0</v>
      </c>
      <c r="CD98" s="170">
        <v>0</v>
      </c>
      <c r="CE98" s="170">
        <v>0</v>
      </c>
      <c r="CF98" s="170">
        <v>0</v>
      </c>
      <c r="CG98" s="213">
        <v>0</v>
      </c>
      <c r="CH98" s="170">
        <f t="shared" ref="CH98:CP98" si="190">+BY98-BK98</f>
        <v>20625000</v>
      </c>
      <c r="CI98" s="170">
        <f t="shared" si="190"/>
        <v>0</v>
      </c>
      <c r="CJ98" s="170">
        <f t="shared" si="190"/>
        <v>0</v>
      </c>
      <c r="CK98" s="170">
        <f t="shared" si="190"/>
        <v>0</v>
      </c>
      <c r="CL98" s="170">
        <f t="shared" si="190"/>
        <v>0</v>
      </c>
      <c r="CM98" s="170">
        <f t="shared" si="190"/>
        <v>0</v>
      </c>
      <c r="CN98" s="170">
        <f t="shared" si="190"/>
        <v>0</v>
      </c>
      <c r="CO98" s="170">
        <f t="shared" si="190"/>
        <v>0</v>
      </c>
      <c r="CP98" s="170">
        <f t="shared" si="190"/>
        <v>0</v>
      </c>
      <c r="CQ98" s="213">
        <f t="shared" si="166"/>
        <v>20625000</v>
      </c>
      <c r="CR98" s="219"/>
      <c r="CS98" s="220"/>
      <c r="CT98" s="220"/>
      <c r="CU98" s="210"/>
      <c r="CV98" s="210"/>
      <c r="CW98" s="210"/>
      <c r="CX98" s="210"/>
      <c r="CY98" s="221">
        <f>+CQ98-CS98*550</f>
        <v>20625000</v>
      </c>
      <c r="CZ98" s="222"/>
      <c r="DA98" s="246"/>
      <c r="DB98" s="381"/>
      <c r="DC98" s="381"/>
      <c r="DD98" s="506"/>
      <c r="DE98" s="381"/>
    </row>
    <row r="99" spans="1:109" ht="26.1" customHeight="1" x14ac:dyDescent="0.25">
      <c r="BI99" s="350"/>
    </row>
    <row r="100" spans="1:109" ht="26.1" customHeight="1" x14ac:dyDescent="0.25">
      <c r="C100" s="351" t="s">
        <v>97</v>
      </c>
      <c r="D100" s="351"/>
      <c r="BI100" s="350"/>
    </row>
    <row r="101" spans="1:109" ht="26.1" customHeight="1" thickBot="1" x14ac:dyDescent="0.3">
      <c r="C101" s="352" t="s">
        <v>99</v>
      </c>
      <c r="D101" s="353"/>
      <c r="E101" s="354" t="s">
        <v>81</v>
      </c>
      <c r="F101" s="355"/>
      <c r="G101" s="356" t="s">
        <v>100</v>
      </c>
      <c r="H101" s="357" t="s">
        <v>141</v>
      </c>
      <c r="I101" s="53"/>
      <c r="J101" s="54" t="s">
        <v>230</v>
      </c>
      <c r="K101" s="347" t="s">
        <v>259</v>
      </c>
      <c r="L101" s="348"/>
      <c r="M101" s="349"/>
    </row>
    <row r="102" spans="1:109" ht="26.1" customHeight="1" x14ac:dyDescent="0.25">
      <c r="C102" s="204" t="s">
        <v>41</v>
      </c>
      <c r="D102" s="205" t="s">
        <v>357</v>
      </c>
      <c r="E102" s="47" t="s">
        <v>1</v>
      </c>
      <c r="F102" s="255"/>
      <c r="G102" s="77" t="s">
        <v>415</v>
      </c>
      <c r="H102" s="48" t="s">
        <v>114</v>
      </c>
      <c r="I102" s="67"/>
      <c r="J102" s="67"/>
    </row>
    <row r="104" spans="1:109" ht="13.5" thickBot="1" x14ac:dyDescent="0.3">
      <c r="B104" s="351" t="s">
        <v>179</v>
      </c>
      <c r="D104" s="350"/>
      <c r="I104" s="102"/>
    </row>
    <row r="105" spans="1:109" ht="13.5" thickBot="1" x14ac:dyDescent="0.3">
      <c r="B105" s="2" t="s">
        <v>177</v>
      </c>
      <c r="C105" s="3" t="s">
        <v>178</v>
      </c>
      <c r="D105" s="9"/>
      <c r="E105" s="78"/>
      <c r="I105" s="102"/>
    </row>
    <row r="106" spans="1:109" ht="51.75" thickBot="1" x14ac:dyDescent="0.3">
      <c r="B106" s="4" t="s">
        <v>187</v>
      </c>
      <c r="C106" s="5" t="s">
        <v>182</v>
      </c>
      <c r="D106" s="10"/>
      <c r="E106" s="570"/>
      <c r="I106" s="102"/>
    </row>
    <row r="107" spans="1:109" ht="24.75" customHeight="1" thickBot="1" x14ac:dyDescent="0.3">
      <c r="B107" s="4" t="s">
        <v>166</v>
      </c>
      <c r="C107" s="5" t="s">
        <v>171</v>
      </c>
      <c r="D107" s="10"/>
      <c r="E107" s="570"/>
      <c r="I107" s="102"/>
    </row>
    <row r="108" spans="1:109" ht="24" customHeight="1" thickBot="1" x14ac:dyDescent="0.3">
      <c r="B108" s="4" t="s">
        <v>167</v>
      </c>
      <c r="C108" s="5" t="s">
        <v>172</v>
      </c>
      <c r="D108" s="10"/>
      <c r="E108" s="570"/>
      <c r="I108" s="102"/>
    </row>
    <row r="109" spans="1:109" ht="52.5" customHeight="1" thickBot="1" x14ac:dyDescent="0.3">
      <c r="B109" s="4" t="s">
        <v>168</v>
      </c>
      <c r="C109" s="5" t="s">
        <v>184</v>
      </c>
      <c r="D109" s="10"/>
      <c r="E109" s="570"/>
      <c r="I109" s="102"/>
    </row>
    <row r="110" spans="1:109" ht="66" customHeight="1" thickBot="1" x14ac:dyDescent="0.3">
      <c r="B110" s="4" t="s">
        <v>169</v>
      </c>
      <c r="C110" s="5" t="s">
        <v>183</v>
      </c>
      <c r="D110" s="10"/>
      <c r="E110" s="570"/>
      <c r="I110" s="102"/>
    </row>
    <row r="111" spans="1:109" x14ac:dyDescent="0.25">
      <c r="A111" s="10"/>
      <c r="D111" s="350"/>
      <c r="I111" s="102"/>
    </row>
    <row r="112" spans="1:109" ht="15.75" customHeight="1" x14ac:dyDescent="0.25">
      <c r="A112" s="10"/>
      <c r="D112" s="350"/>
      <c r="I112" s="102"/>
    </row>
    <row r="113" spans="2:9" ht="26.25" customHeight="1" thickBot="1" x14ac:dyDescent="0.3">
      <c r="B113" s="358" t="s">
        <v>170</v>
      </c>
      <c r="C113" s="8"/>
      <c r="D113" s="8"/>
      <c r="E113" s="8"/>
      <c r="F113" s="6"/>
      <c r="I113" s="102"/>
    </row>
    <row r="114" spans="2:9" ht="26.25" thickBot="1" x14ac:dyDescent="0.3">
      <c r="B114" s="11" t="s">
        <v>180</v>
      </c>
      <c r="C114" s="12" t="s">
        <v>204</v>
      </c>
      <c r="D114" s="13" t="s">
        <v>226</v>
      </c>
      <c r="E114" s="13" t="s">
        <v>215</v>
      </c>
      <c r="I114" s="102"/>
    </row>
    <row r="115" spans="2:9" ht="51" x14ac:dyDescent="0.25">
      <c r="B115" s="14" t="s">
        <v>145</v>
      </c>
      <c r="C115" s="15" t="s">
        <v>185</v>
      </c>
      <c r="D115" s="16" t="s">
        <v>188</v>
      </c>
      <c r="E115" s="16" t="s">
        <v>216</v>
      </c>
      <c r="I115" s="102"/>
    </row>
    <row r="116" spans="2:9" ht="81" customHeight="1" x14ac:dyDescent="0.25">
      <c r="B116" s="17" t="s">
        <v>198</v>
      </c>
      <c r="C116" s="18" t="s">
        <v>175</v>
      </c>
      <c r="D116" s="19" t="s">
        <v>188</v>
      </c>
      <c r="E116" s="19" t="s">
        <v>217</v>
      </c>
      <c r="I116" s="102"/>
    </row>
    <row r="117" spans="2:9" ht="63.75" x14ac:dyDescent="0.25">
      <c r="B117" s="17" t="s">
        <v>146</v>
      </c>
      <c r="C117" s="18" t="s">
        <v>186</v>
      </c>
      <c r="D117" s="19" t="s">
        <v>188</v>
      </c>
      <c r="E117" s="19" t="s">
        <v>218</v>
      </c>
      <c r="I117" s="102"/>
    </row>
    <row r="118" spans="2:9" ht="102.75" thickBot="1" x14ac:dyDescent="0.3">
      <c r="B118" s="20" t="s">
        <v>174</v>
      </c>
      <c r="C118" s="21" t="s">
        <v>201</v>
      </c>
      <c r="D118" s="22" t="s">
        <v>188</v>
      </c>
      <c r="E118" s="22" t="s">
        <v>219</v>
      </c>
      <c r="I118" s="102"/>
    </row>
    <row r="119" spans="2:9" ht="51.75" thickBot="1" x14ac:dyDescent="0.3">
      <c r="B119" s="44" t="s">
        <v>165</v>
      </c>
      <c r="C119" s="45" t="s">
        <v>181</v>
      </c>
      <c r="D119" s="46" t="s">
        <v>176</v>
      </c>
      <c r="E119" s="46" t="s">
        <v>245</v>
      </c>
      <c r="I119" s="102"/>
    </row>
    <row r="120" spans="2:9" ht="89.25" x14ac:dyDescent="0.25">
      <c r="B120" s="29" t="s">
        <v>189</v>
      </c>
      <c r="C120" s="30" t="s">
        <v>190</v>
      </c>
      <c r="D120" s="31" t="s">
        <v>173</v>
      </c>
      <c r="E120" s="31" t="s">
        <v>222</v>
      </c>
      <c r="I120" s="102"/>
    </row>
    <row r="121" spans="2:9" ht="51" x14ac:dyDescent="0.25">
      <c r="B121" s="32" t="s">
        <v>191</v>
      </c>
      <c r="C121" s="33" t="s">
        <v>192</v>
      </c>
      <c r="D121" s="34" t="s">
        <v>173</v>
      </c>
      <c r="E121" s="34" t="s">
        <v>220</v>
      </c>
      <c r="I121" s="102"/>
    </row>
    <row r="122" spans="2:9" ht="38.25" x14ac:dyDescent="0.25">
      <c r="B122" s="32" t="s">
        <v>239</v>
      </c>
      <c r="C122" s="33" t="s">
        <v>240</v>
      </c>
      <c r="D122" s="34" t="s">
        <v>173</v>
      </c>
      <c r="E122" s="34" t="s">
        <v>229</v>
      </c>
      <c r="I122" s="102"/>
    </row>
    <row r="123" spans="2:9" ht="42.75" customHeight="1" x14ac:dyDescent="0.25">
      <c r="B123" s="32" t="s">
        <v>193</v>
      </c>
      <c r="C123" s="33" t="s">
        <v>194</v>
      </c>
      <c r="D123" s="34" t="s">
        <v>173</v>
      </c>
      <c r="E123" s="34" t="s">
        <v>223</v>
      </c>
      <c r="I123" s="102"/>
    </row>
    <row r="124" spans="2:9" ht="77.25" thickBot="1" x14ac:dyDescent="0.3">
      <c r="B124" s="35" t="s">
        <v>144</v>
      </c>
      <c r="C124" s="36" t="s">
        <v>238</v>
      </c>
      <c r="D124" s="37" t="s">
        <v>173</v>
      </c>
      <c r="E124" s="37" t="s">
        <v>221</v>
      </c>
      <c r="I124" s="102"/>
    </row>
    <row r="125" spans="2:9" ht="63.75" x14ac:dyDescent="0.25">
      <c r="B125" s="38" t="s">
        <v>199</v>
      </c>
      <c r="C125" s="39" t="s">
        <v>200</v>
      </c>
      <c r="D125" s="40" t="s">
        <v>196</v>
      </c>
      <c r="E125" s="40" t="s">
        <v>222</v>
      </c>
      <c r="I125" s="102"/>
    </row>
    <row r="126" spans="2:9" ht="39" thickBot="1" x14ac:dyDescent="0.3">
      <c r="B126" s="41" t="s">
        <v>195</v>
      </c>
      <c r="C126" s="42" t="s">
        <v>197</v>
      </c>
      <c r="D126" s="43" t="s">
        <v>196</v>
      </c>
      <c r="E126" s="43" t="s">
        <v>220</v>
      </c>
      <c r="I126" s="102"/>
    </row>
    <row r="127" spans="2:9" x14ac:dyDescent="0.25">
      <c r="I127" s="102"/>
    </row>
    <row r="128" spans="2:9" ht="13.5" thickBot="1" x14ac:dyDescent="0.3">
      <c r="B128" s="358" t="s">
        <v>202</v>
      </c>
      <c r="C128" s="8"/>
      <c r="D128" s="8"/>
      <c r="I128" s="102"/>
    </row>
    <row r="129" spans="1:9" ht="13.5" thickBot="1" x14ac:dyDescent="0.3">
      <c r="B129" s="11" t="s">
        <v>203</v>
      </c>
      <c r="C129" s="12" t="s">
        <v>204</v>
      </c>
      <c r="D129" s="13"/>
      <c r="E129" s="13" t="s">
        <v>215</v>
      </c>
      <c r="I129" s="102"/>
    </row>
    <row r="130" spans="1:9" ht="78" customHeight="1" x14ac:dyDescent="0.25">
      <c r="B130" s="366" t="s">
        <v>189</v>
      </c>
      <c r="C130" s="23" t="s">
        <v>205</v>
      </c>
      <c r="D130" s="24"/>
      <c r="E130" s="24" t="s">
        <v>222</v>
      </c>
      <c r="I130" s="102"/>
    </row>
    <row r="131" spans="1:9" ht="66" customHeight="1" x14ac:dyDescent="0.25">
      <c r="B131" s="367" t="s">
        <v>206</v>
      </c>
      <c r="C131" s="25" t="s">
        <v>207</v>
      </c>
      <c r="D131" s="26"/>
      <c r="E131" s="26" t="s">
        <v>214</v>
      </c>
      <c r="I131" s="102"/>
    </row>
    <row r="132" spans="1:9" ht="76.5" x14ac:dyDescent="0.25">
      <c r="B132" s="367" t="s">
        <v>208</v>
      </c>
      <c r="C132" s="25" t="s">
        <v>210</v>
      </c>
      <c r="D132" s="26"/>
      <c r="E132" s="26" t="s">
        <v>229</v>
      </c>
      <c r="I132" s="102"/>
    </row>
    <row r="133" spans="1:9" ht="54.75" customHeight="1" x14ac:dyDescent="0.25">
      <c r="B133" s="367" t="s">
        <v>209</v>
      </c>
      <c r="C133" s="25" t="s">
        <v>211</v>
      </c>
      <c r="D133" s="26"/>
      <c r="E133" s="26" t="s">
        <v>229</v>
      </c>
      <c r="I133" s="102"/>
    </row>
    <row r="134" spans="1:9" ht="80.25" customHeight="1" x14ac:dyDescent="0.25">
      <c r="B134" s="367" t="s">
        <v>212</v>
      </c>
      <c r="C134" s="25" t="s">
        <v>228</v>
      </c>
      <c r="D134" s="26"/>
      <c r="E134" s="26" t="s">
        <v>230</v>
      </c>
      <c r="I134" s="102"/>
    </row>
    <row r="135" spans="1:9" ht="30.75" customHeight="1" thickBot="1" x14ac:dyDescent="0.3">
      <c r="B135" s="368" t="s">
        <v>213</v>
      </c>
      <c r="C135" s="27" t="s">
        <v>227</v>
      </c>
      <c r="D135" s="28"/>
      <c r="E135" s="28" t="s">
        <v>230</v>
      </c>
      <c r="I135" s="102"/>
    </row>
    <row r="136" spans="1:9" x14ac:dyDescent="0.25">
      <c r="I136" s="102"/>
    </row>
    <row r="137" spans="1:9" x14ac:dyDescent="0.25">
      <c r="D137" s="350"/>
    </row>
    <row r="138" spans="1:9" s="6" customFormat="1" ht="24.95" customHeight="1" x14ac:dyDescent="0.25">
      <c r="A138" s="102"/>
      <c r="B138" s="102"/>
      <c r="C138" s="102"/>
      <c r="D138" s="350"/>
      <c r="E138" s="102"/>
    </row>
    <row r="139" spans="1:9" s="6" customFormat="1" ht="24.95" customHeight="1" x14ac:dyDescent="0.25">
      <c r="B139" s="351" t="s">
        <v>250</v>
      </c>
      <c r="C139" s="102"/>
      <c r="D139" s="7"/>
    </row>
    <row r="140" spans="1:9" s="6" customFormat="1" ht="24.95" customHeight="1" x14ac:dyDescent="0.25">
      <c r="B140" s="69" t="s">
        <v>147</v>
      </c>
      <c r="C140" s="69" t="s">
        <v>148</v>
      </c>
      <c r="D140" s="7"/>
    </row>
    <row r="141" spans="1:9" s="6" customFormat="1" ht="24.95" customHeight="1" x14ac:dyDescent="0.25">
      <c r="B141" s="68" t="s">
        <v>149</v>
      </c>
      <c r="C141" s="68" t="s">
        <v>150</v>
      </c>
      <c r="D141" s="7"/>
    </row>
    <row r="142" spans="1:9" s="6" customFormat="1" ht="24.95" customHeight="1" x14ac:dyDescent="0.25">
      <c r="B142" s="68" t="s">
        <v>151</v>
      </c>
      <c r="C142" s="68" t="s">
        <v>152</v>
      </c>
      <c r="D142" s="7"/>
    </row>
    <row r="143" spans="1:9" s="6" customFormat="1" ht="24.95" customHeight="1" x14ac:dyDescent="0.25">
      <c r="B143" s="68" t="s">
        <v>153</v>
      </c>
      <c r="C143" s="68" t="s">
        <v>152</v>
      </c>
      <c r="D143" s="7"/>
    </row>
    <row r="144" spans="1:9" s="6" customFormat="1" ht="24.95" customHeight="1" x14ac:dyDescent="0.25">
      <c r="B144" s="68" t="s">
        <v>154</v>
      </c>
      <c r="C144" s="68" t="s">
        <v>155</v>
      </c>
      <c r="D144" s="7"/>
    </row>
    <row r="145" spans="2:9" s="6" customFormat="1" ht="24.95" customHeight="1" x14ac:dyDescent="0.25">
      <c r="B145" s="68" t="s">
        <v>156</v>
      </c>
      <c r="C145" s="68" t="s">
        <v>157</v>
      </c>
      <c r="D145" s="7"/>
    </row>
    <row r="146" spans="2:9" s="6" customFormat="1" ht="24.95" customHeight="1" x14ac:dyDescent="0.25">
      <c r="B146" s="68" t="s">
        <v>158</v>
      </c>
      <c r="C146" s="68" t="s">
        <v>159</v>
      </c>
      <c r="D146" s="7"/>
    </row>
    <row r="147" spans="2:9" s="6" customFormat="1" ht="24.95" customHeight="1" x14ac:dyDescent="0.25">
      <c r="B147" s="68" t="s">
        <v>160</v>
      </c>
      <c r="C147" s="68" t="s">
        <v>161</v>
      </c>
      <c r="D147" s="7"/>
    </row>
    <row r="148" spans="2:9" x14ac:dyDescent="0.25">
      <c r="B148" s="68" t="s">
        <v>162</v>
      </c>
      <c r="C148" s="68" t="s">
        <v>163</v>
      </c>
      <c r="D148" s="7"/>
      <c r="E148" s="6"/>
      <c r="I148" s="102"/>
    </row>
    <row r="149" spans="2:9" ht="38.25" x14ac:dyDescent="0.25">
      <c r="B149" s="68" t="s">
        <v>164</v>
      </c>
      <c r="C149" s="68" t="s">
        <v>163</v>
      </c>
      <c r="D149" s="350"/>
      <c r="I149" s="102"/>
    </row>
  </sheetData>
  <mergeCells count="30">
    <mergeCell ref="O2:O3"/>
    <mergeCell ref="DA1:DA3"/>
    <mergeCell ref="Q2:Q3"/>
    <mergeCell ref="R2:AF2"/>
    <mergeCell ref="AJ2:AJ3"/>
    <mergeCell ref="AK2:AU2"/>
    <mergeCell ref="AV2:BF2"/>
    <mergeCell ref="BJ2:BJ3"/>
    <mergeCell ref="BK2:BT2"/>
    <mergeCell ref="BU2:BX2"/>
    <mergeCell ref="BY2:CG2"/>
    <mergeCell ref="CH2:CQ2"/>
    <mergeCell ref="CR2:CZ2"/>
    <mergeCell ref="P1:AF1"/>
    <mergeCell ref="AG1:BF1"/>
    <mergeCell ref="BG1:CZ1"/>
    <mergeCell ref="BH2:BH3"/>
    <mergeCell ref="BI2:BI3"/>
    <mergeCell ref="P2:P3"/>
    <mergeCell ref="AG2:AG3"/>
    <mergeCell ref="AH2:AH3"/>
    <mergeCell ref="AI2:AI3"/>
    <mergeCell ref="BG2:BG3"/>
    <mergeCell ref="K2:M2"/>
    <mergeCell ref="K3:M3"/>
    <mergeCell ref="A2:A3"/>
    <mergeCell ref="E2:H2"/>
    <mergeCell ref="E106:E110"/>
    <mergeCell ref="C2:C3"/>
    <mergeCell ref="B2:B3"/>
  </mergeCells>
  <conditionalFormatting sqref="H12 H71 H73 H79:H81 H83 H34:H35 H67:H68 H64 H62">
    <cfRule type="containsText" dxfId="1520" priority="721" operator="containsText" text="x">
      <formula>NOT(ISERROR(SEARCH("x",H12)))</formula>
    </cfRule>
  </conditionalFormatting>
  <conditionalFormatting sqref="H86">
    <cfRule type="containsText" dxfId="1519" priority="710" operator="containsText" text="x">
      <formula>NOT(ISERROR(SEARCH("x",H86)))</formula>
    </cfRule>
  </conditionalFormatting>
  <conditionalFormatting sqref="H92">
    <cfRule type="containsText" dxfId="1518" priority="704" operator="containsText" text="x">
      <formula>NOT(ISERROR(SEARCH("x",H92)))</formula>
    </cfRule>
  </conditionalFormatting>
  <conditionalFormatting sqref="H93:H94">
    <cfRule type="containsText" dxfId="1517" priority="698" operator="containsText" text="x">
      <formula>NOT(ISERROR(SEARCH("x",H93)))</formula>
    </cfRule>
  </conditionalFormatting>
  <conditionalFormatting sqref="H101">
    <cfRule type="containsText" dxfId="1516" priority="692" operator="containsText" text="x">
      <formula>NOT(ISERROR(SEARCH("x",H101)))</formula>
    </cfRule>
  </conditionalFormatting>
  <conditionalFormatting sqref="H88">
    <cfRule type="containsText" dxfId="1515" priority="686" operator="containsText" text="x">
      <formula>NOT(ISERROR(SEARCH("x",H88)))</formula>
    </cfRule>
  </conditionalFormatting>
  <conditionalFormatting sqref="H61">
    <cfRule type="containsText" dxfId="1514" priority="680" operator="containsText" text="x">
      <formula>NOT(ISERROR(SEARCH("x",H61)))</formula>
    </cfRule>
  </conditionalFormatting>
  <conditionalFormatting sqref="H43">
    <cfRule type="containsText" dxfId="1513" priority="674" operator="containsText" text="x">
      <formula>NOT(ISERROR(SEARCH("x",H43)))</formula>
    </cfRule>
  </conditionalFormatting>
  <conditionalFormatting sqref="H33">
    <cfRule type="containsText" dxfId="1512" priority="668" operator="containsText" text="x">
      <formula>NOT(ISERROR(SEARCH("x",H33)))</formula>
    </cfRule>
  </conditionalFormatting>
  <conditionalFormatting sqref="H49">
    <cfRule type="containsText" dxfId="1511" priority="657" operator="containsText" text="x">
      <formula>NOT(ISERROR(SEARCH("x",H49)))</formula>
    </cfRule>
  </conditionalFormatting>
  <conditionalFormatting sqref="H29">
    <cfRule type="containsText" dxfId="1510" priority="651" operator="containsText" text="x">
      <formula>NOT(ISERROR(SEARCH("x",H29)))</formula>
    </cfRule>
  </conditionalFormatting>
  <conditionalFormatting sqref="H22">
    <cfRule type="containsText" dxfId="1509" priority="645" operator="containsText" text="x">
      <formula>NOT(ISERROR(SEARCH("x",H22)))</formula>
    </cfRule>
  </conditionalFormatting>
  <conditionalFormatting sqref="H90">
    <cfRule type="containsText" dxfId="1508" priority="639" operator="containsText" text="x">
      <formula>NOT(ISERROR(SEARCH("x",H90)))</formula>
    </cfRule>
  </conditionalFormatting>
  <conditionalFormatting sqref="H72">
    <cfRule type="containsText" dxfId="1507" priority="622" operator="containsText" text="x">
      <formula>NOT(ISERROR(SEARCH("x",H72)))</formula>
    </cfRule>
  </conditionalFormatting>
  <conditionalFormatting sqref="H24">
    <cfRule type="containsText" dxfId="1506" priority="598" operator="containsText" text="x">
      <formula>NOT(ISERROR(SEARCH("x",H24)))</formula>
    </cfRule>
  </conditionalFormatting>
  <conditionalFormatting sqref="H6:H7">
    <cfRule type="containsText" dxfId="1505" priority="616" operator="containsText" text="x">
      <formula>NOT(ISERROR(SEARCH("x",H6)))</formula>
    </cfRule>
  </conditionalFormatting>
  <conditionalFormatting sqref="H47">
    <cfRule type="containsText" dxfId="1504" priority="610" operator="containsText" text="x">
      <formula>NOT(ISERROR(SEARCH("x",H47)))</formula>
    </cfRule>
  </conditionalFormatting>
  <conditionalFormatting sqref="H44">
    <cfRule type="containsText" dxfId="1503" priority="604" operator="containsText" text="x">
      <formula>NOT(ISERROR(SEARCH("x",H44)))</formula>
    </cfRule>
  </conditionalFormatting>
  <conditionalFormatting sqref="H51">
    <cfRule type="containsText" dxfId="1502" priority="592" operator="containsText" text="x">
      <formula>NOT(ISERROR(SEARCH("x",H51)))</formula>
    </cfRule>
  </conditionalFormatting>
  <conditionalFormatting sqref="H69">
    <cfRule type="containsText" dxfId="1501" priority="586" operator="containsText" text="x">
      <formula>NOT(ISERROR(SEARCH("x",H69)))</formula>
    </cfRule>
  </conditionalFormatting>
  <conditionalFormatting sqref="H75">
    <cfRule type="containsText" dxfId="1500" priority="574" operator="containsText" text="x">
      <formula>NOT(ISERROR(SEARCH("x",H75)))</formula>
    </cfRule>
  </conditionalFormatting>
  <conditionalFormatting sqref="H98">
    <cfRule type="containsText" dxfId="1499" priority="562" operator="containsText" text="x">
      <formula>NOT(ISERROR(SEARCH("x",H98)))</formula>
    </cfRule>
  </conditionalFormatting>
  <conditionalFormatting sqref="H8">
    <cfRule type="containsText" dxfId="1498" priority="556" operator="containsText" text="x">
      <formula>NOT(ISERROR(SEARCH("x",H8)))</formula>
    </cfRule>
  </conditionalFormatting>
  <conditionalFormatting sqref="H40">
    <cfRule type="containsText" dxfId="1497" priority="545" operator="containsText" text="x">
      <formula>NOT(ISERROR(SEARCH("x",H40)))</formula>
    </cfRule>
  </conditionalFormatting>
  <conditionalFormatting sqref="H53">
    <cfRule type="containsText" dxfId="1496" priority="539" operator="containsText" text="x">
      <formula>NOT(ISERROR(SEARCH("x",H53)))</formula>
    </cfRule>
  </conditionalFormatting>
  <conditionalFormatting sqref="H58">
    <cfRule type="containsText" dxfId="1495" priority="538" operator="containsText" text="x">
      <formula>NOT(ISERROR(SEARCH("x",H58)))</formula>
    </cfRule>
  </conditionalFormatting>
  <conditionalFormatting sqref="BH49">
    <cfRule type="containsText" dxfId="1494" priority="532" operator="containsText" text="L3 - Subprograms (in planning)">
      <formula>NOT(ISERROR(SEARCH("L3 - Subprograms (in planning)",BH49)))</formula>
    </cfRule>
    <cfRule type="containsText" dxfId="1493" priority="533" operator="containsText" text="L3 - Subprograms (w/plans)">
      <formula>NOT(ISERROR(SEARCH("L3 - Subprograms (w/plans)",BH49)))</formula>
    </cfRule>
    <cfRule type="containsText" dxfId="1492" priority="534" operator="containsText" text="L2 - Policies and Strategies REDD+ and Land-use">
      <formula>NOT(ISERROR(SEARCH("L2 - Policies and Strategies REDD+ and Land-use",BH49)))</formula>
    </cfRule>
    <cfRule type="containsText" dxfId="1491" priority="535" operator="containsText" text="TBD/??">
      <formula>NOT(ISERROR(SEARCH("TBD/??",BH49)))</formula>
    </cfRule>
    <cfRule type="containsText" dxfId="1490" priority="536" operator="containsText" text="L1 - REDD+ Program Admin and Mgt">
      <formula>NOT(ISERROR(SEARCH("L1 - REDD+ Program Admin and Mgt",BH49)))</formula>
    </cfRule>
  </conditionalFormatting>
  <conditionalFormatting sqref="R49:AF49">
    <cfRule type="containsText" dxfId="1489" priority="531" operator="containsText" text="x">
      <formula>NOT(ISERROR(SEARCH("x",R49)))</formula>
    </cfRule>
  </conditionalFormatting>
  <conditionalFormatting sqref="BH64">
    <cfRule type="containsText" dxfId="1488" priority="526" operator="containsText" text="L3 - Subprograms (in planning)">
      <formula>NOT(ISERROR(SEARCH("L3 - Subprograms (in planning)",BH64)))</formula>
    </cfRule>
    <cfRule type="containsText" dxfId="1487" priority="527" operator="containsText" text="L3 - Subprograms (w/plans)">
      <formula>NOT(ISERROR(SEARCH("L3 - Subprograms (w/plans)",BH64)))</formula>
    </cfRule>
    <cfRule type="containsText" dxfId="1486" priority="528" operator="containsText" text="L2 - Policies and Strategies REDD+ and Land-use">
      <formula>NOT(ISERROR(SEARCH("L2 - Policies and Strategies REDD+ and Land-use",BH64)))</formula>
    </cfRule>
    <cfRule type="containsText" dxfId="1485" priority="529" operator="containsText" text="TBD/??">
      <formula>NOT(ISERROR(SEARCH("TBD/??",BH64)))</formula>
    </cfRule>
    <cfRule type="containsText" dxfId="1484" priority="530" operator="containsText" text="L1 - REDD+ Program Admin and Mgt">
      <formula>NOT(ISERROR(SEARCH("L1 - REDD+ Program Admin and Mgt",BH64)))</formula>
    </cfRule>
  </conditionalFormatting>
  <conditionalFormatting sqref="R64:AF64">
    <cfRule type="containsText" dxfId="1483" priority="525" operator="containsText" text="x">
      <formula>NOT(ISERROR(SEARCH("x",R64)))</formula>
    </cfRule>
  </conditionalFormatting>
  <conditionalFormatting sqref="BH35">
    <cfRule type="containsText" dxfId="1482" priority="475" operator="containsText" text="L3 - Subprograms (in planning)">
      <formula>NOT(ISERROR(SEARCH("L3 - Subprograms (in planning)",BH35)))</formula>
    </cfRule>
    <cfRule type="containsText" dxfId="1481" priority="476" operator="containsText" text="L3 - Subprograms (w/plans)">
      <formula>NOT(ISERROR(SEARCH("L3 - Subprograms (w/plans)",BH35)))</formula>
    </cfRule>
    <cfRule type="containsText" dxfId="1480" priority="477" operator="containsText" text="L2 - Policies and Strategies REDD+ and Land-use">
      <formula>NOT(ISERROR(SEARCH("L2 - Policies and Strategies REDD+ and Land-use",BH35)))</formula>
    </cfRule>
    <cfRule type="containsText" dxfId="1479" priority="478" operator="containsText" text="TBD/??">
      <formula>NOT(ISERROR(SEARCH("TBD/??",BH35)))</formula>
    </cfRule>
    <cfRule type="containsText" dxfId="1478" priority="479" operator="containsText" text="L1 - REDD+ Program Admin and Mgt">
      <formula>NOT(ISERROR(SEARCH("L1 - REDD+ Program Admin and Mgt",BH35)))</formula>
    </cfRule>
  </conditionalFormatting>
  <conditionalFormatting sqref="R81:AF81">
    <cfRule type="containsText" dxfId="1477" priority="519" operator="containsText" text="x">
      <formula>NOT(ISERROR(SEARCH("x",R81)))</formula>
    </cfRule>
  </conditionalFormatting>
  <conditionalFormatting sqref="BH88">
    <cfRule type="containsText" dxfId="1476" priority="514" operator="containsText" text="L3 - Subprograms (in planning)">
      <formula>NOT(ISERROR(SEARCH("L3 - Subprograms (in planning)",BH88)))</formula>
    </cfRule>
    <cfRule type="containsText" dxfId="1475" priority="515" operator="containsText" text="L3 - Subprograms (w/plans)">
      <formula>NOT(ISERROR(SEARCH("L3 - Subprograms (w/plans)",BH88)))</formula>
    </cfRule>
    <cfRule type="containsText" dxfId="1474" priority="516" operator="containsText" text="L2 - Policies and Strategies REDD+ and Land-use">
      <formula>NOT(ISERROR(SEARCH("L2 - Policies and Strategies REDD+ and Land-use",BH88)))</formula>
    </cfRule>
    <cfRule type="containsText" dxfId="1473" priority="517" operator="containsText" text="TBD/??">
      <formula>NOT(ISERROR(SEARCH("TBD/??",BH88)))</formula>
    </cfRule>
    <cfRule type="containsText" dxfId="1472" priority="518" operator="containsText" text="L1 - REDD+ Program Admin and Mgt">
      <formula>NOT(ISERROR(SEARCH("L1 - REDD+ Program Admin and Mgt",BH88)))</formula>
    </cfRule>
  </conditionalFormatting>
  <conditionalFormatting sqref="R88:AF88">
    <cfRule type="containsText" dxfId="1471" priority="513" operator="containsText" text="x">
      <formula>NOT(ISERROR(SEARCH("x",R88)))</formula>
    </cfRule>
  </conditionalFormatting>
  <conditionalFormatting sqref="R67:AF68">
    <cfRule type="containsText" dxfId="1470" priority="492" operator="containsText" text="x">
      <formula>NOT(ISERROR(SEARCH("x",R67)))</formula>
    </cfRule>
  </conditionalFormatting>
  <conditionalFormatting sqref="BH28">
    <cfRule type="containsText" dxfId="1469" priority="317" operator="containsText" text="L3 - Subprograms (in planning)">
      <formula>NOT(ISERROR(SEARCH("L3 - Subprograms (in planning)",BH28)))</formula>
    </cfRule>
    <cfRule type="containsText" dxfId="1468" priority="318" operator="containsText" text="L3 - Subprograms (w/plans)">
      <formula>NOT(ISERROR(SEARCH("L3 - Subprograms (w/plans)",BH28)))</formula>
    </cfRule>
    <cfRule type="containsText" dxfId="1467" priority="319" operator="containsText" text="L2 - Policies and Strategies REDD+ and Land-use">
      <formula>NOT(ISERROR(SEARCH("L2 - Policies and Strategies REDD+ and Land-use",BH28)))</formula>
    </cfRule>
    <cfRule type="containsText" dxfId="1466" priority="320" operator="containsText" text="TBD/??">
      <formula>NOT(ISERROR(SEARCH("TBD/??",BH28)))</formula>
    </cfRule>
    <cfRule type="containsText" dxfId="1465" priority="321" operator="containsText" text="L1 - REDD+ Program Admin and Mgt">
      <formula>NOT(ISERROR(SEARCH("L1 - REDD+ Program Admin and Mgt",BH28)))</formula>
    </cfRule>
  </conditionalFormatting>
  <conditionalFormatting sqref="R71:AF71">
    <cfRule type="containsText" dxfId="1464" priority="486" operator="containsText" text="x">
      <formula>NOT(ISERROR(SEARCH("x",R71)))</formula>
    </cfRule>
  </conditionalFormatting>
  <conditionalFormatting sqref="R73:AF73">
    <cfRule type="containsText" dxfId="1463" priority="480" operator="containsText" text="x">
      <formula>NOT(ISERROR(SEARCH("x",R73)))</formula>
    </cfRule>
  </conditionalFormatting>
  <conditionalFormatting sqref="R35:AF35">
    <cfRule type="containsText" dxfId="1462" priority="474" operator="containsText" text="x">
      <formula>NOT(ISERROR(SEARCH("x",R35)))</formula>
    </cfRule>
  </conditionalFormatting>
  <conditionalFormatting sqref="R40:AF40">
    <cfRule type="containsText" dxfId="1461" priority="468" operator="containsText" text="x">
      <formula>NOT(ISERROR(SEARCH("x",R40)))</formula>
    </cfRule>
  </conditionalFormatting>
  <conditionalFormatting sqref="BH40">
    <cfRule type="containsText" dxfId="1460" priority="469" operator="containsText" text="L3 - Subprograms (in planning)">
      <formula>NOT(ISERROR(SEARCH("L3 - Subprograms (in planning)",BH40)))</formula>
    </cfRule>
    <cfRule type="containsText" dxfId="1459" priority="470" operator="containsText" text="L3 - Subprograms (w/plans)">
      <formula>NOT(ISERROR(SEARCH("L3 - Subprograms (w/plans)",BH40)))</formula>
    </cfRule>
    <cfRule type="containsText" dxfId="1458" priority="471" operator="containsText" text="L2 - Policies and Strategies REDD+ and Land-use">
      <formula>NOT(ISERROR(SEARCH("L2 - Policies and Strategies REDD+ and Land-use",BH40)))</formula>
    </cfRule>
    <cfRule type="containsText" dxfId="1457" priority="472" operator="containsText" text="TBD/??">
      <formula>NOT(ISERROR(SEARCH("TBD/??",BH40)))</formula>
    </cfRule>
    <cfRule type="containsText" dxfId="1456" priority="473" operator="containsText" text="L1 - REDD+ Program Admin and Mgt">
      <formula>NOT(ISERROR(SEARCH("L1 - REDD+ Program Admin and Mgt",BH40)))</formula>
    </cfRule>
  </conditionalFormatting>
  <conditionalFormatting sqref="R22:AF22">
    <cfRule type="containsText" dxfId="1455" priority="456" operator="containsText" text="x">
      <formula>NOT(ISERROR(SEARCH("x",R22)))</formula>
    </cfRule>
  </conditionalFormatting>
  <conditionalFormatting sqref="R51:AF51">
    <cfRule type="containsText" dxfId="1454" priority="450" operator="containsText" text="x">
      <formula>NOT(ISERROR(SEARCH("x",R51)))</formula>
    </cfRule>
  </conditionalFormatting>
  <conditionalFormatting sqref="R62:AF62">
    <cfRule type="containsText" dxfId="1453" priority="444" operator="containsText" text="x">
      <formula>NOT(ISERROR(SEARCH("x",R62)))</formula>
    </cfRule>
  </conditionalFormatting>
  <conditionalFormatting sqref="BH29">
    <cfRule type="containsText" dxfId="1452" priority="379" operator="containsText" text="L3 - Subprograms (in planning)">
      <formula>NOT(ISERROR(SEARCH("L3 - Subprograms (in planning)",BH29)))</formula>
    </cfRule>
    <cfRule type="containsText" dxfId="1451" priority="380" operator="containsText" text="L3 - Subprograms (w/plans)">
      <formula>NOT(ISERROR(SEARCH("L3 - Subprograms (w/plans)",BH29)))</formula>
    </cfRule>
    <cfRule type="containsText" dxfId="1450" priority="381" operator="containsText" text="L2 - Policies and Strategies REDD+ and Land-use">
      <formula>NOT(ISERROR(SEARCH("L2 - Policies and Strategies REDD+ and Land-use",BH29)))</formula>
    </cfRule>
    <cfRule type="containsText" dxfId="1449" priority="382" operator="containsText" text="TBD/??">
      <formula>NOT(ISERROR(SEARCH("TBD/??",BH29)))</formula>
    </cfRule>
    <cfRule type="containsText" dxfId="1448" priority="383" operator="containsText" text="L1 - REDD+ Program Admin and Mgt">
      <formula>NOT(ISERROR(SEARCH("L1 - REDD+ Program Admin and Mgt",BH29)))</formula>
    </cfRule>
  </conditionalFormatting>
  <conditionalFormatting sqref="R69:AF69">
    <cfRule type="containsText" dxfId="1447" priority="438" operator="containsText" text="x">
      <formula>NOT(ISERROR(SEARCH("x",R69)))</formula>
    </cfRule>
  </conditionalFormatting>
  <conditionalFormatting sqref="BH83">
    <cfRule type="containsText" dxfId="1446" priority="427" operator="containsText" text="L3 - Subprograms (in planning)">
      <formula>NOT(ISERROR(SEARCH("L3 - Subprograms (in planning)",BH83)))</formula>
    </cfRule>
    <cfRule type="containsText" dxfId="1445" priority="428" operator="containsText" text="L3 - Subprograms (w/plans)">
      <formula>NOT(ISERROR(SEARCH("L3 - Subprograms (w/plans)",BH83)))</formula>
    </cfRule>
    <cfRule type="containsText" dxfId="1444" priority="429" operator="containsText" text="L2 - Policies and Strategies REDD+ and Land-use">
      <formula>NOT(ISERROR(SEARCH("L2 - Policies and Strategies REDD+ and Land-use",BH83)))</formula>
    </cfRule>
    <cfRule type="containsText" dxfId="1443" priority="430" operator="containsText" text="TBD/??">
      <formula>NOT(ISERROR(SEARCH("TBD/??",BH83)))</formula>
    </cfRule>
    <cfRule type="containsText" dxfId="1442" priority="431" operator="containsText" text="L1 - REDD+ Program Admin and Mgt">
      <formula>NOT(ISERROR(SEARCH("L1 - REDD+ Program Admin and Mgt",BH83)))</formula>
    </cfRule>
  </conditionalFormatting>
  <conditionalFormatting sqref="R83:AF83">
    <cfRule type="containsText" dxfId="1441" priority="426" operator="containsText" text="x">
      <formula>NOT(ISERROR(SEARCH("x",R83)))</formula>
    </cfRule>
  </conditionalFormatting>
  <conditionalFormatting sqref="R86:AF86">
    <cfRule type="containsText" dxfId="1440" priority="414" operator="containsText" text="x">
      <formula>NOT(ISERROR(SEARCH("x",R86)))</formula>
    </cfRule>
  </conditionalFormatting>
  <conditionalFormatting sqref="R90:AF90">
    <cfRule type="containsText" dxfId="1439" priority="408" operator="containsText" text="x">
      <formula>NOT(ISERROR(SEARCH("x",R90)))</formula>
    </cfRule>
  </conditionalFormatting>
  <conditionalFormatting sqref="BH92">
    <cfRule type="containsText" dxfId="1438" priority="403" operator="containsText" text="L3 - Subprograms (in planning)">
      <formula>NOT(ISERROR(SEARCH("L3 - Subprograms (in planning)",BH92)))</formula>
    </cfRule>
    <cfRule type="containsText" dxfId="1437" priority="404" operator="containsText" text="L3 - Subprograms (w/plans)">
      <formula>NOT(ISERROR(SEARCH("L3 - Subprograms (w/plans)",BH92)))</formula>
    </cfRule>
    <cfRule type="containsText" dxfId="1436" priority="405" operator="containsText" text="L2 - Policies and Strategies REDD+ and Land-use">
      <formula>NOT(ISERROR(SEARCH("L2 - Policies and Strategies REDD+ and Land-use",BH92)))</formula>
    </cfRule>
    <cfRule type="containsText" dxfId="1435" priority="406" operator="containsText" text="TBD/??">
      <formula>NOT(ISERROR(SEARCH("TBD/??",BH92)))</formula>
    </cfRule>
    <cfRule type="containsText" dxfId="1434" priority="407" operator="containsText" text="L1 - REDD+ Program Admin and Mgt">
      <formula>NOT(ISERROR(SEARCH("L1 - REDD+ Program Admin and Mgt",BH92)))</formula>
    </cfRule>
  </conditionalFormatting>
  <conditionalFormatting sqref="R92:AF92">
    <cfRule type="containsText" dxfId="1433" priority="402" operator="containsText" text="x">
      <formula>NOT(ISERROR(SEARCH("x",R92)))</formula>
    </cfRule>
  </conditionalFormatting>
  <conditionalFormatting sqref="BH93">
    <cfRule type="containsText" dxfId="1432" priority="397" operator="containsText" text="L3 - Subprograms (in planning)">
      <formula>NOT(ISERROR(SEARCH("L3 - Subprograms (in planning)",BH93)))</formula>
    </cfRule>
    <cfRule type="containsText" dxfId="1431" priority="398" operator="containsText" text="L3 - Subprograms (w/plans)">
      <formula>NOT(ISERROR(SEARCH("L3 - Subprograms (w/plans)",BH93)))</formula>
    </cfRule>
    <cfRule type="containsText" dxfId="1430" priority="399" operator="containsText" text="L2 - Policies and Strategies REDD+ and Land-use">
      <formula>NOT(ISERROR(SEARCH("L2 - Policies and Strategies REDD+ and Land-use",BH93)))</formula>
    </cfRule>
    <cfRule type="containsText" dxfId="1429" priority="400" operator="containsText" text="TBD/??">
      <formula>NOT(ISERROR(SEARCH("TBD/??",BH93)))</formula>
    </cfRule>
    <cfRule type="containsText" dxfId="1428" priority="401" operator="containsText" text="L1 - REDD+ Program Admin and Mgt">
      <formula>NOT(ISERROR(SEARCH("L1 - REDD+ Program Admin and Mgt",BH93)))</formula>
    </cfRule>
  </conditionalFormatting>
  <conditionalFormatting sqref="R93:AF94">
    <cfRule type="containsText" dxfId="1427" priority="396" operator="containsText" text="x">
      <formula>NOT(ISERROR(SEARCH("x",R93)))</formula>
    </cfRule>
  </conditionalFormatting>
  <conditionalFormatting sqref="R98:AF98">
    <cfRule type="containsText" dxfId="1426" priority="384" operator="containsText" text="x">
      <formula>NOT(ISERROR(SEARCH("x",R98)))</formula>
    </cfRule>
  </conditionalFormatting>
  <conditionalFormatting sqref="R29:S29 U29:AF29">
    <cfRule type="containsText" dxfId="1425" priority="378" operator="containsText" text="x">
      <formula>NOT(ISERROR(SEARCH("x",R29)))</formula>
    </cfRule>
  </conditionalFormatting>
  <conditionalFormatting sqref="R34:AF34">
    <cfRule type="containsText" dxfId="1424" priority="372" operator="containsText" text="x">
      <formula>NOT(ISERROR(SEARCH("x",R34)))</formula>
    </cfRule>
  </conditionalFormatting>
  <conditionalFormatting sqref="BH33">
    <cfRule type="containsText" dxfId="1423" priority="367" operator="containsText" text="L3 - Subprograms (in planning)">
      <formula>NOT(ISERROR(SEARCH("L3 - Subprograms (in planning)",BH33)))</formula>
    </cfRule>
    <cfRule type="containsText" dxfId="1422" priority="368" operator="containsText" text="L3 - Subprograms (w/plans)">
      <formula>NOT(ISERROR(SEARCH("L3 - Subprograms (w/plans)",BH33)))</formula>
    </cfRule>
    <cfRule type="containsText" dxfId="1421" priority="369" operator="containsText" text="L2 - Policies and Strategies REDD+ and Land-use">
      <formula>NOT(ISERROR(SEARCH("L2 - Policies and Strategies REDD+ and Land-use",BH33)))</formula>
    </cfRule>
    <cfRule type="containsText" dxfId="1420" priority="370" operator="containsText" text="TBD/??">
      <formula>NOT(ISERROR(SEARCH("TBD/??",BH33)))</formula>
    </cfRule>
    <cfRule type="containsText" dxfId="1419" priority="371" operator="containsText" text="L1 - REDD+ Program Admin and Mgt">
      <formula>NOT(ISERROR(SEARCH("L1 - REDD+ Program Admin and Mgt",BH33)))</formula>
    </cfRule>
  </conditionalFormatting>
  <conditionalFormatting sqref="R33 W33:AF33">
    <cfRule type="containsText" dxfId="1418" priority="366" operator="containsText" text="x">
      <formula>NOT(ISERROR(SEARCH("x",R33)))</formula>
    </cfRule>
  </conditionalFormatting>
  <conditionalFormatting sqref="R6:AF7">
    <cfRule type="containsText" dxfId="1417" priority="348" operator="containsText" text="x">
      <formula>NOT(ISERROR(SEARCH("x",R6)))</formula>
    </cfRule>
  </conditionalFormatting>
  <conditionalFormatting sqref="R24:AF24">
    <cfRule type="containsText" dxfId="1416" priority="337" operator="containsText" text="x">
      <formula>NOT(ISERROR(SEARCH("x",R24)))</formula>
    </cfRule>
  </conditionalFormatting>
  <conditionalFormatting sqref="BH75">
    <cfRule type="containsText" dxfId="1415" priority="112" operator="containsText" text="L3 - Subprograms (in planning)">
      <formula>NOT(ISERROR(SEARCH("L3 - Subprograms (in planning)",BH75)))</formula>
    </cfRule>
    <cfRule type="containsText" dxfId="1414" priority="113" operator="containsText" text="L3 - Subprograms (w/plans)">
      <formula>NOT(ISERROR(SEARCH("L3 - Subprograms (w/plans)",BH75)))</formula>
    </cfRule>
    <cfRule type="containsText" dxfId="1413" priority="114" operator="containsText" text="L2 - Policies and Strategies REDD+ and Land-use">
      <formula>NOT(ISERROR(SEARCH("L2 - Policies and Strategies REDD+ and Land-use",BH75)))</formula>
    </cfRule>
    <cfRule type="containsText" dxfId="1412" priority="115" operator="containsText" text="TBD/??">
      <formula>NOT(ISERROR(SEARCH("TBD/??",BH75)))</formula>
    </cfRule>
    <cfRule type="containsText" dxfId="1411" priority="116" operator="containsText" text="L1 - REDD+ Program Admin and Mgt">
      <formula>NOT(ISERROR(SEARCH("L1 - REDD+ Program Admin and Mgt",BH75)))</formula>
    </cfRule>
  </conditionalFormatting>
  <conditionalFormatting sqref="BH6:BH7">
    <cfRule type="containsText" dxfId="1410" priority="332" operator="containsText" text="L3 - Subprograms (in planning)">
      <formula>NOT(ISERROR(SEARCH("L3 - Subprograms (in planning)",BH6)))</formula>
    </cfRule>
    <cfRule type="containsText" dxfId="1409" priority="333" operator="containsText" text="L3 - Subprograms (w/plans)">
      <formula>NOT(ISERROR(SEARCH("L3 - Subprograms (w/plans)",BH6)))</formula>
    </cfRule>
    <cfRule type="containsText" dxfId="1408" priority="334" operator="containsText" text="L2 - Policies and Strategies REDD+ and Land-use">
      <formula>NOT(ISERROR(SEARCH("L2 - Policies and Strategies REDD+ and Land-use",BH6)))</formula>
    </cfRule>
    <cfRule type="containsText" dxfId="1407" priority="335" operator="containsText" text="TBD/??">
      <formula>NOT(ISERROR(SEARCH("TBD/??",BH6)))</formula>
    </cfRule>
    <cfRule type="containsText" dxfId="1406" priority="336" operator="containsText" text="L1 - REDD+ Program Admin and Mgt">
      <formula>NOT(ISERROR(SEARCH("L1 - REDD+ Program Admin and Mgt",BH6)))</formula>
    </cfRule>
  </conditionalFormatting>
  <conditionalFormatting sqref="BH51">
    <cfRule type="containsText" dxfId="1405" priority="307" operator="containsText" text="L3 - Subprograms (in planning)">
      <formula>NOT(ISERROR(SEARCH("L3 - Subprograms (in planning)",BH51)))</formula>
    </cfRule>
    <cfRule type="containsText" dxfId="1404" priority="308" operator="containsText" text="L3 - Subprograms (w/plans)">
      <formula>NOT(ISERROR(SEARCH("L3 - Subprograms (w/plans)",BH51)))</formula>
    </cfRule>
    <cfRule type="containsText" dxfId="1403" priority="309" operator="containsText" text="L2 - Policies and Strategies REDD+ and Land-use">
      <formula>NOT(ISERROR(SEARCH("L2 - Policies and Strategies REDD+ and Land-use",BH51)))</formula>
    </cfRule>
    <cfRule type="containsText" dxfId="1402" priority="310" operator="containsText" text="TBD/??">
      <formula>NOT(ISERROR(SEARCH("TBD/??",BH51)))</formula>
    </cfRule>
    <cfRule type="containsText" dxfId="1401" priority="311" operator="containsText" text="L1 - REDD+ Program Admin and Mgt">
      <formula>NOT(ISERROR(SEARCH("L1 - REDD+ Program Admin and Mgt",BH51)))</formula>
    </cfRule>
  </conditionalFormatting>
  <conditionalFormatting sqref="BH98">
    <cfRule type="containsText" dxfId="1400" priority="292" operator="containsText" text="L3 - Subprograms (in planning)">
      <formula>NOT(ISERROR(SEARCH("L3 - Subprograms (in planning)",BH98)))</formula>
    </cfRule>
    <cfRule type="containsText" dxfId="1399" priority="293" operator="containsText" text="L3 - Subprograms (w/plans)">
      <formula>NOT(ISERROR(SEARCH("L3 - Subprograms (w/plans)",BH98)))</formula>
    </cfRule>
    <cfRule type="containsText" dxfId="1398" priority="294" operator="containsText" text="L2 - Policies and Strategies REDD+ and Land-use">
      <formula>NOT(ISERROR(SEARCH("L2 - Policies and Strategies REDD+ and Land-use",BH98)))</formula>
    </cfRule>
    <cfRule type="containsText" dxfId="1397" priority="295" operator="containsText" text="TBD/??">
      <formula>NOT(ISERROR(SEARCH("TBD/??",BH98)))</formula>
    </cfRule>
    <cfRule type="containsText" dxfId="1396" priority="296" operator="containsText" text="L1 - REDD+ Program Admin and Mgt">
      <formula>NOT(ISERROR(SEARCH("L1 - REDD+ Program Admin and Mgt",BH98)))</formula>
    </cfRule>
  </conditionalFormatting>
  <conditionalFormatting sqref="BH90">
    <cfRule type="containsText" dxfId="1395" priority="222" operator="containsText" text="L3 - Subprograms (in planning)">
      <formula>NOT(ISERROR(SEARCH("L3 - Subprograms (in planning)",BH90)))</formula>
    </cfRule>
    <cfRule type="containsText" dxfId="1394" priority="223" operator="containsText" text="L3 - Subprograms (w/plans)">
      <formula>NOT(ISERROR(SEARCH("L3 - Subprograms (w/plans)",BH90)))</formula>
    </cfRule>
    <cfRule type="containsText" dxfId="1393" priority="224" operator="containsText" text="L2 - Policies and Strategies REDD+ and Land-use">
      <formula>NOT(ISERROR(SEARCH("L2 - Policies and Strategies REDD+ and Land-use",BH90)))</formula>
    </cfRule>
    <cfRule type="containsText" dxfId="1392" priority="225" operator="containsText" text="TBD/??">
      <formula>NOT(ISERROR(SEARCH("TBD/??",BH90)))</formula>
    </cfRule>
    <cfRule type="containsText" dxfId="1391" priority="226" operator="containsText" text="L1 - REDD+ Program Admin and Mgt">
      <formula>NOT(ISERROR(SEARCH("L1 - REDD+ Program Admin and Mgt",BH90)))</formula>
    </cfRule>
  </conditionalFormatting>
  <conditionalFormatting sqref="BH71">
    <cfRule type="containsText" dxfId="1390" priority="242" operator="containsText" text="L3 - Subprograms (in planning)">
      <formula>NOT(ISERROR(SEARCH("L3 - Subprograms (in planning)",BH71)))</formula>
    </cfRule>
    <cfRule type="containsText" dxfId="1389" priority="243" operator="containsText" text="L3 - Subprograms (w/plans)">
      <formula>NOT(ISERROR(SEARCH("L3 - Subprograms (w/plans)",BH71)))</formula>
    </cfRule>
    <cfRule type="containsText" dxfId="1388" priority="244" operator="containsText" text="L2 - Policies and Strategies REDD+ and Land-use">
      <formula>NOT(ISERROR(SEARCH("L2 - Policies and Strategies REDD+ and Land-use",BH71)))</formula>
    </cfRule>
    <cfRule type="containsText" dxfId="1387" priority="245" operator="containsText" text="TBD/??">
      <formula>NOT(ISERROR(SEARCH("TBD/??",BH71)))</formula>
    </cfRule>
    <cfRule type="containsText" dxfId="1386" priority="246" operator="containsText" text="L1 - REDD+ Program Admin and Mgt">
      <formula>NOT(ISERROR(SEARCH("L1 - REDD+ Program Admin and Mgt",BH71)))</formula>
    </cfRule>
  </conditionalFormatting>
  <conditionalFormatting sqref="BH67">
    <cfRule type="containsText" dxfId="1385" priority="247" operator="containsText" text="L3 - Subprograms (in planning)">
      <formula>NOT(ISERROR(SEARCH("L3 - Subprograms (in planning)",BH67)))</formula>
    </cfRule>
    <cfRule type="containsText" dxfId="1384" priority="248" operator="containsText" text="L3 - Subprograms (w/plans)">
      <formula>NOT(ISERROR(SEARCH("L3 - Subprograms (w/plans)",BH67)))</formula>
    </cfRule>
    <cfRule type="containsText" dxfId="1383" priority="249" operator="containsText" text="L2 - Policies and Strategies REDD+ and Land-use">
      <formula>NOT(ISERROR(SEARCH("L2 - Policies and Strategies REDD+ and Land-use",BH67)))</formula>
    </cfRule>
    <cfRule type="containsText" dxfId="1382" priority="250" operator="containsText" text="TBD/??">
      <formula>NOT(ISERROR(SEARCH("TBD/??",BH67)))</formula>
    </cfRule>
    <cfRule type="containsText" dxfId="1381" priority="251" operator="containsText" text="L1 - REDD+ Program Admin and Mgt">
      <formula>NOT(ISERROR(SEARCH("L1 - REDD+ Program Admin and Mgt",BH67)))</formula>
    </cfRule>
  </conditionalFormatting>
  <conditionalFormatting sqref="BH77">
    <cfRule type="containsText" dxfId="1380" priority="237" operator="containsText" text="L3 - Subprograms (in planning)">
      <formula>NOT(ISERROR(SEARCH("L3 - Subprograms (in planning)",BH77)))</formula>
    </cfRule>
    <cfRule type="containsText" dxfId="1379" priority="238" operator="containsText" text="L3 - Subprograms (w/plans)">
      <formula>NOT(ISERROR(SEARCH("L3 - Subprograms (w/plans)",BH77)))</formula>
    </cfRule>
    <cfRule type="containsText" dxfId="1378" priority="239" operator="containsText" text="L2 - Policies and Strategies REDD+ and Land-use">
      <formula>NOT(ISERROR(SEARCH("L2 - Policies and Strategies REDD+ and Land-use",BH77)))</formula>
    </cfRule>
    <cfRule type="containsText" dxfId="1377" priority="240" operator="containsText" text="TBD/??">
      <formula>NOT(ISERROR(SEARCH("TBD/??",BH77)))</formula>
    </cfRule>
    <cfRule type="containsText" dxfId="1376" priority="241" operator="containsText" text="L1 - REDD+ Program Admin and Mgt">
      <formula>NOT(ISERROR(SEARCH("L1 - REDD+ Program Admin and Mgt",BH77)))</formula>
    </cfRule>
  </conditionalFormatting>
  <conditionalFormatting sqref="BH94">
    <cfRule type="containsText" dxfId="1375" priority="232" operator="containsText" text="L3 - Subprograms (in planning)">
      <formula>NOT(ISERROR(SEARCH("L3 - Subprograms (in planning)",BH94)))</formula>
    </cfRule>
    <cfRule type="containsText" dxfId="1374" priority="233" operator="containsText" text="L3 - Subprograms (w/plans)">
      <formula>NOT(ISERROR(SEARCH("L3 - Subprograms (w/plans)",BH94)))</formula>
    </cfRule>
    <cfRule type="containsText" dxfId="1373" priority="234" operator="containsText" text="L2 - Policies and Strategies REDD+ and Land-use">
      <formula>NOT(ISERROR(SEARCH("L2 - Policies and Strategies REDD+ and Land-use",BH94)))</formula>
    </cfRule>
    <cfRule type="containsText" dxfId="1372" priority="235" operator="containsText" text="TBD/??">
      <formula>NOT(ISERROR(SEARCH("TBD/??",BH94)))</formula>
    </cfRule>
    <cfRule type="containsText" dxfId="1371" priority="236" operator="containsText" text="L1 - REDD+ Program Admin and Mgt">
      <formula>NOT(ISERROR(SEARCH("L1 - REDD+ Program Admin and Mgt",BH94)))</formula>
    </cfRule>
  </conditionalFormatting>
  <conditionalFormatting sqref="BH96">
    <cfRule type="containsText" dxfId="1370" priority="227" operator="containsText" text="L3 - Subprograms (in planning)">
      <formula>NOT(ISERROR(SEARCH("L3 - Subprograms (in planning)",BH96)))</formula>
    </cfRule>
    <cfRule type="containsText" dxfId="1369" priority="228" operator="containsText" text="L3 - Subprograms (w/plans)">
      <formula>NOT(ISERROR(SEARCH("L3 - Subprograms (w/plans)",BH96)))</formula>
    </cfRule>
    <cfRule type="containsText" dxfId="1368" priority="229" operator="containsText" text="L2 - Policies and Strategies REDD+ and Land-use">
      <formula>NOT(ISERROR(SEARCH("L2 - Policies and Strategies REDD+ and Land-use",BH96)))</formula>
    </cfRule>
    <cfRule type="containsText" dxfId="1367" priority="230" operator="containsText" text="TBD/??">
      <formula>NOT(ISERROR(SEARCH("TBD/??",BH96)))</formula>
    </cfRule>
    <cfRule type="containsText" dxfId="1366" priority="231" operator="containsText" text="L1 - REDD+ Program Admin and Mgt">
      <formula>NOT(ISERROR(SEARCH("L1 - REDD+ Program Admin and Mgt",BH96)))</formula>
    </cfRule>
  </conditionalFormatting>
  <conditionalFormatting sqref="BH22">
    <cfRule type="containsText" dxfId="1365" priority="217" operator="containsText" text="L3 - Subprograms (in planning)">
      <formula>NOT(ISERROR(SEARCH("L3 - Subprograms (in planning)",BH22)))</formula>
    </cfRule>
    <cfRule type="containsText" dxfId="1364" priority="218" operator="containsText" text="L3 - Subprograms (w/plans)">
      <formula>NOT(ISERROR(SEARCH("L3 - Subprograms (w/plans)",BH22)))</formula>
    </cfRule>
    <cfRule type="containsText" dxfId="1363" priority="219" operator="containsText" text="L2 - Policies and Strategies REDD+ and Land-use">
      <formula>NOT(ISERROR(SEARCH("L2 - Policies and Strategies REDD+ and Land-use",BH22)))</formula>
    </cfRule>
    <cfRule type="containsText" dxfId="1362" priority="220" operator="containsText" text="TBD/??">
      <formula>NOT(ISERROR(SEARCH("TBD/??",BH22)))</formula>
    </cfRule>
    <cfRule type="containsText" dxfId="1361" priority="221" operator="containsText" text="L1 - REDD+ Program Admin and Mgt">
      <formula>NOT(ISERROR(SEARCH("L1 - REDD+ Program Admin and Mgt",BH22)))</formula>
    </cfRule>
  </conditionalFormatting>
  <conditionalFormatting sqref="BH31">
    <cfRule type="containsText" dxfId="1360" priority="212" operator="containsText" text="L3 - Subprograms (in planning)">
      <formula>NOT(ISERROR(SEARCH("L3 - Subprograms (in planning)",BH31)))</formula>
    </cfRule>
    <cfRule type="containsText" dxfId="1359" priority="213" operator="containsText" text="L3 - Subprograms (w/plans)">
      <formula>NOT(ISERROR(SEARCH("L3 - Subprograms (w/plans)",BH31)))</formula>
    </cfRule>
    <cfRule type="containsText" dxfId="1358" priority="214" operator="containsText" text="L2 - Policies and Strategies REDD+ and Land-use">
      <formula>NOT(ISERROR(SEARCH("L2 - Policies and Strategies REDD+ and Land-use",BH31)))</formula>
    </cfRule>
    <cfRule type="containsText" dxfId="1357" priority="215" operator="containsText" text="TBD/??">
      <formula>NOT(ISERROR(SEARCH("TBD/??",BH31)))</formula>
    </cfRule>
    <cfRule type="containsText" dxfId="1356" priority="216" operator="containsText" text="L1 - REDD+ Program Admin and Mgt">
      <formula>NOT(ISERROR(SEARCH("L1 - REDD+ Program Admin and Mgt",BH31)))</formula>
    </cfRule>
  </conditionalFormatting>
  <conditionalFormatting sqref="BH34">
    <cfRule type="containsText" dxfId="1355" priority="207" operator="containsText" text="L3 - Subprograms (in planning)">
      <formula>NOT(ISERROR(SEARCH("L3 - Subprograms (in planning)",BH34)))</formula>
    </cfRule>
    <cfRule type="containsText" dxfId="1354" priority="208" operator="containsText" text="L3 - Subprograms (w/plans)">
      <formula>NOT(ISERROR(SEARCH("L3 - Subprograms (w/plans)",BH34)))</formula>
    </cfRule>
    <cfRule type="containsText" dxfId="1353" priority="209" operator="containsText" text="L2 - Policies and Strategies REDD+ and Land-use">
      <formula>NOT(ISERROR(SEARCH("L2 - Policies and Strategies REDD+ and Land-use",BH34)))</formula>
    </cfRule>
    <cfRule type="containsText" dxfId="1352" priority="210" operator="containsText" text="TBD/??">
      <formula>NOT(ISERROR(SEARCH("TBD/??",BH34)))</formula>
    </cfRule>
    <cfRule type="containsText" dxfId="1351" priority="211" operator="containsText" text="L1 - REDD+ Program Admin and Mgt">
      <formula>NOT(ISERROR(SEARCH("L1 - REDD+ Program Admin and Mgt",BH34)))</formula>
    </cfRule>
  </conditionalFormatting>
  <conditionalFormatting sqref="BH62">
    <cfRule type="containsText" dxfId="1350" priority="177" operator="containsText" text="L3 - Subprograms (in planning)">
      <formula>NOT(ISERROR(SEARCH("L3 - Subprograms (in planning)",BH62)))</formula>
    </cfRule>
    <cfRule type="containsText" dxfId="1349" priority="178" operator="containsText" text="L3 - Subprograms (w/plans)">
      <formula>NOT(ISERROR(SEARCH("L3 - Subprograms (w/plans)",BH62)))</formula>
    </cfRule>
    <cfRule type="containsText" dxfId="1348" priority="179" operator="containsText" text="L2 - Policies and Strategies REDD+ and Land-use">
      <formula>NOT(ISERROR(SEARCH("L2 - Policies and Strategies REDD+ and Land-use",BH62)))</formula>
    </cfRule>
    <cfRule type="containsText" dxfId="1347" priority="180" operator="containsText" text="TBD/??">
      <formula>NOT(ISERROR(SEARCH("TBD/??",BH62)))</formula>
    </cfRule>
    <cfRule type="containsText" dxfId="1346" priority="181" operator="containsText" text="L1 - REDD+ Program Admin and Mgt">
      <formula>NOT(ISERROR(SEARCH("L1 - REDD+ Program Admin and Mgt",BH62)))</formula>
    </cfRule>
  </conditionalFormatting>
  <conditionalFormatting sqref="BH68">
    <cfRule type="containsText" dxfId="1345" priority="172" operator="containsText" text="L3 - Subprograms (in planning)">
      <formula>NOT(ISERROR(SEARCH("L3 - Subprograms (in planning)",BH68)))</formula>
    </cfRule>
    <cfRule type="containsText" dxfId="1344" priority="173" operator="containsText" text="L3 - Subprograms (w/plans)">
      <formula>NOT(ISERROR(SEARCH("L3 - Subprograms (w/plans)",BH68)))</formula>
    </cfRule>
    <cfRule type="containsText" dxfId="1343" priority="174" operator="containsText" text="L2 - Policies and Strategies REDD+ and Land-use">
      <formula>NOT(ISERROR(SEARCH("L2 - Policies and Strategies REDD+ and Land-use",BH68)))</formula>
    </cfRule>
    <cfRule type="containsText" dxfId="1342" priority="175" operator="containsText" text="TBD/??">
      <formula>NOT(ISERROR(SEARCH("TBD/??",BH68)))</formula>
    </cfRule>
    <cfRule type="containsText" dxfId="1341" priority="176" operator="containsText" text="L1 - REDD+ Program Admin and Mgt">
      <formula>NOT(ISERROR(SEARCH("L1 - REDD+ Program Admin and Mgt",BH68)))</formula>
    </cfRule>
  </conditionalFormatting>
  <conditionalFormatting sqref="BH69">
    <cfRule type="containsText" dxfId="1340" priority="167" operator="containsText" text="L3 - Subprograms (in planning)">
      <formula>NOT(ISERROR(SEARCH("L3 - Subprograms (in planning)",BH69)))</formula>
    </cfRule>
    <cfRule type="containsText" dxfId="1339" priority="168" operator="containsText" text="L3 - Subprograms (w/plans)">
      <formula>NOT(ISERROR(SEARCH("L3 - Subprograms (w/plans)",BH69)))</formula>
    </cfRule>
    <cfRule type="containsText" dxfId="1338" priority="169" operator="containsText" text="L2 - Policies and Strategies REDD+ and Land-use">
      <formula>NOT(ISERROR(SEARCH("L2 - Policies and Strategies REDD+ and Land-use",BH69)))</formula>
    </cfRule>
    <cfRule type="containsText" dxfId="1337" priority="170" operator="containsText" text="TBD/??">
      <formula>NOT(ISERROR(SEARCH("TBD/??",BH69)))</formula>
    </cfRule>
    <cfRule type="containsText" dxfId="1336" priority="171" operator="containsText" text="L1 - REDD+ Program Admin and Mgt">
      <formula>NOT(ISERROR(SEARCH("L1 - REDD+ Program Admin and Mgt",BH69)))</formula>
    </cfRule>
  </conditionalFormatting>
  <conditionalFormatting sqref="BH72">
    <cfRule type="containsText" dxfId="1335" priority="162" operator="containsText" text="L3 - Subprograms (in planning)">
      <formula>NOT(ISERROR(SEARCH("L3 - Subprograms (in planning)",BH72)))</formula>
    </cfRule>
    <cfRule type="containsText" dxfId="1334" priority="163" operator="containsText" text="L3 - Subprograms (w/plans)">
      <formula>NOT(ISERROR(SEARCH("L3 - Subprograms (w/plans)",BH72)))</formula>
    </cfRule>
    <cfRule type="containsText" dxfId="1333" priority="164" operator="containsText" text="L2 - Policies and Strategies REDD+ and Land-use">
      <formula>NOT(ISERROR(SEARCH("L2 - Policies and Strategies REDD+ and Land-use",BH72)))</formula>
    </cfRule>
    <cfRule type="containsText" dxfId="1332" priority="165" operator="containsText" text="TBD/??">
      <formula>NOT(ISERROR(SEARCH("TBD/??",BH72)))</formula>
    </cfRule>
    <cfRule type="containsText" dxfId="1331" priority="166" operator="containsText" text="L1 - REDD+ Program Admin and Mgt">
      <formula>NOT(ISERROR(SEARCH("L1 - REDD+ Program Admin and Mgt",BH72)))</formula>
    </cfRule>
  </conditionalFormatting>
  <conditionalFormatting sqref="BH73">
    <cfRule type="containsText" dxfId="1330" priority="157" operator="containsText" text="L3 - Subprograms (in planning)">
      <formula>NOT(ISERROR(SEARCH("L3 - Subprograms (in planning)",BH73)))</formula>
    </cfRule>
    <cfRule type="containsText" dxfId="1329" priority="158" operator="containsText" text="L3 - Subprograms (w/plans)">
      <formula>NOT(ISERROR(SEARCH("L3 - Subprograms (w/plans)",BH73)))</formula>
    </cfRule>
    <cfRule type="containsText" dxfId="1328" priority="159" operator="containsText" text="L2 - Policies and Strategies REDD+ and Land-use">
      <formula>NOT(ISERROR(SEARCH("L2 - Policies and Strategies REDD+ and Land-use",BH73)))</formula>
    </cfRule>
    <cfRule type="containsText" dxfId="1327" priority="160" operator="containsText" text="TBD/??">
      <formula>NOT(ISERROR(SEARCH("TBD/??",BH73)))</formula>
    </cfRule>
    <cfRule type="containsText" dxfId="1326" priority="161" operator="containsText" text="L1 - REDD+ Program Admin and Mgt">
      <formula>NOT(ISERROR(SEARCH("L1 - REDD+ Program Admin and Mgt",BH73)))</formula>
    </cfRule>
  </conditionalFormatting>
  <conditionalFormatting sqref="BH81">
    <cfRule type="containsText" dxfId="1325" priority="152" operator="containsText" text="L3 - Subprograms (in planning)">
      <formula>NOT(ISERROR(SEARCH("L3 - Subprograms (in planning)",BH81)))</formula>
    </cfRule>
    <cfRule type="containsText" dxfId="1324" priority="153" operator="containsText" text="L3 - Subprograms (w/plans)">
      <formula>NOT(ISERROR(SEARCH("L3 - Subprograms (w/plans)",BH81)))</formula>
    </cfRule>
    <cfRule type="containsText" dxfId="1323" priority="154" operator="containsText" text="L2 - Policies and Strategies REDD+ and Land-use">
      <formula>NOT(ISERROR(SEARCH("L2 - Policies and Strategies REDD+ and Land-use",BH81)))</formula>
    </cfRule>
    <cfRule type="containsText" dxfId="1322" priority="155" operator="containsText" text="TBD/??">
      <formula>NOT(ISERROR(SEARCH("TBD/??",BH81)))</formula>
    </cfRule>
    <cfRule type="containsText" dxfId="1321" priority="156" operator="containsText" text="L1 - REDD+ Program Admin and Mgt">
      <formula>NOT(ISERROR(SEARCH("L1 - REDD+ Program Admin and Mgt",BH81)))</formula>
    </cfRule>
  </conditionalFormatting>
  <conditionalFormatting sqref="BH84">
    <cfRule type="containsText" dxfId="1320" priority="147" operator="containsText" text="L3 - Subprograms (in planning)">
      <formula>NOT(ISERROR(SEARCH("L3 - Subprograms (in planning)",BH84)))</formula>
    </cfRule>
    <cfRule type="containsText" dxfId="1319" priority="148" operator="containsText" text="L3 - Subprograms (w/plans)">
      <formula>NOT(ISERROR(SEARCH("L3 - Subprograms (w/plans)",BH84)))</formula>
    </cfRule>
    <cfRule type="containsText" dxfId="1318" priority="149" operator="containsText" text="L2 - Policies and Strategies REDD+ and Land-use">
      <formula>NOT(ISERROR(SEARCH("L2 - Policies and Strategies REDD+ and Land-use",BH84)))</formula>
    </cfRule>
    <cfRule type="containsText" dxfId="1317" priority="150" operator="containsText" text="TBD/??">
      <formula>NOT(ISERROR(SEARCH("TBD/??",BH84)))</formula>
    </cfRule>
    <cfRule type="containsText" dxfId="1316" priority="151" operator="containsText" text="L1 - REDD+ Program Admin and Mgt">
      <formula>NOT(ISERROR(SEARCH("L1 - REDD+ Program Admin and Mgt",BH84)))</formula>
    </cfRule>
  </conditionalFormatting>
  <conditionalFormatting sqref="BH86">
    <cfRule type="containsText" dxfId="1315" priority="142" operator="containsText" text="L3 - Subprograms (in planning)">
      <formula>NOT(ISERROR(SEARCH("L3 - Subprograms (in planning)",BH86)))</formula>
    </cfRule>
    <cfRule type="containsText" dxfId="1314" priority="143" operator="containsText" text="L3 - Subprograms (w/plans)">
      <formula>NOT(ISERROR(SEARCH("L3 - Subprograms (w/plans)",BH86)))</formula>
    </cfRule>
    <cfRule type="containsText" dxfId="1313" priority="144" operator="containsText" text="L2 - Policies and Strategies REDD+ and Land-use">
      <formula>NOT(ISERROR(SEARCH("L2 - Policies and Strategies REDD+ and Land-use",BH86)))</formula>
    </cfRule>
    <cfRule type="containsText" dxfId="1312" priority="145" operator="containsText" text="TBD/??">
      <formula>NOT(ISERROR(SEARCH("TBD/??",BH86)))</formula>
    </cfRule>
    <cfRule type="containsText" dxfId="1311" priority="146" operator="containsText" text="L1 - REDD+ Program Admin and Mgt">
      <formula>NOT(ISERROR(SEARCH("L1 - REDD+ Program Admin and Mgt",BH86)))</formula>
    </cfRule>
  </conditionalFormatting>
  <conditionalFormatting sqref="BH89">
    <cfRule type="containsText" dxfId="1310" priority="137" operator="containsText" text="L3 - Subprograms (in planning)">
      <formula>NOT(ISERROR(SEARCH("L3 - Subprograms (in planning)",BH89)))</formula>
    </cfRule>
    <cfRule type="containsText" dxfId="1309" priority="138" operator="containsText" text="L3 - Subprograms (w/plans)">
      <formula>NOT(ISERROR(SEARCH("L3 - Subprograms (w/plans)",BH89)))</formula>
    </cfRule>
    <cfRule type="containsText" dxfId="1308" priority="139" operator="containsText" text="L2 - Policies and Strategies REDD+ and Land-use">
      <formula>NOT(ISERROR(SEARCH("L2 - Policies and Strategies REDD+ and Land-use",BH89)))</formula>
    </cfRule>
    <cfRule type="containsText" dxfId="1307" priority="140" operator="containsText" text="TBD/??">
      <formula>NOT(ISERROR(SEARCH("TBD/??",BH89)))</formula>
    </cfRule>
    <cfRule type="containsText" dxfId="1306" priority="141" operator="containsText" text="L1 - REDD+ Program Admin and Mgt">
      <formula>NOT(ISERROR(SEARCH("L1 - REDD+ Program Admin and Mgt",BH89)))</formula>
    </cfRule>
  </conditionalFormatting>
  <conditionalFormatting sqref="BH14:BH15">
    <cfRule type="containsText" dxfId="1305" priority="127" operator="containsText" text="L3 - Subprograms (in planning)">
      <formula>NOT(ISERROR(SEARCH("L3 - Subprograms (in planning)",BH14)))</formula>
    </cfRule>
    <cfRule type="containsText" dxfId="1304" priority="128" operator="containsText" text="L3 - Subprograms (w/plans)">
      <formula>NOT(ISERROR(SEARCH("L3 - Subprograms (w/plans)",BH14)))</formula>
    </cfRule>
    <cfRule type="containsText" dxfId="1303" priority="129" operator="containsText" text="L2 - Policies and Strategies REDD+ and Land-use">
      <formula>NOT(ISERROR(SEARCH("L2 - Policies and Strategies REDD+ and Land-use",BH14)))</formula>
    </cfRule>
    <cfRule type="containsText" dxfId="1302" priority="130" operator="containsText" text="TBD/??">
      <formula>NOT(ISERROR(SEARCH("TBD/??",BH14)))</formula>
    </cfRule>
    <cfRule type="containsText" dxfId="1301" priority="131" operator="containsText" text="L1 - REDD+ Program Admin and Mgt">
      <formula>NOT(ISERROR(SEARCH("L1 - REDD+ Program Admin and Mgt",BH14)))</formula>
    </cfRule>
  </conditionalFormatting>
  <conditionalFormatting sqref="BH24">
    <cfRule type="containsText" dxfId="1300" priority="122" operator="containsText" text="L3 - Subprograms (in planning)">
      <formula>NOT(ISERROR(SEARCH("L3 - Subprograms (in planning)",BH24)))</formula>
    </cfRule>
    <cfRule type="containsText" dxfId="1299" priority="123" operator="containsText" text="L3 - Subprograms (w/plans)">
      <formula>NOT(ISERROR(SEARCH("L3 - Subprograms (w/plans)",BH24)))</formula>
    </cfRule>
    <cfRule type="containsText" dxfId="1298" priority="124" operator="containsText" text="L2 - Policies and Strategies REDD+ and Land-use">
      <formula>NOT(ISERROR(SEARCH("L2 - Policies and Strategies REDD+ and Land-use",BH24)))</formula>
    </cfRule>
    <cfRule type="containsText" dxfId="1297" priority="125" operator="containsText" text="TBD/??">
      <formula>NOT(ISERROR(SEARCH("TBD/??",BH24)))</formula>
    </cfRule>
    <cfRule type="containsText" dxfId="1296" priority="126" operator="containsText" text="L1 - REDD+ Program Admin and Mgt">
      <formula>NOT(ISERROR(SEARCH("L1 - REDD+ Program Admin and Mgt",BH24)))</formula>
    </cfRule>
  </conditionalFormatting>
  <conditionalFormatting sqref="BH27">
    <cfRule type="containsText" dxfId="1295" priority="117" operator="containsText" text="L3 - Subprograms (in planning)">
      <formula>NOT(ISERROR(SEARCH("L3 - Subprograms (in planning)",BH27)))</formula>
    </cfRule>
    <cfRule type="containsText" dxfId="1294" priority="118" operator="containsText" text="L3 - Subprograms (w/plans)">
      <formula>NOT(ISERROR(SEARCH("L3 - Subprograms (w/plans)",BH27)))</formula>
    </cfRule>
    <cfRule type="containsText" dxfId="1293" priority="119" operator="containsText" text="L2 - Policies and Strategies REDD+ and Land-use">
      <formula>NOT(ISERROR(SEARCH("L2 - Policies and Strategies REDD+ and Land-use",BH27)))</formula>
    </cfRule>
    <cfRule type="containsText" dxfId="1292" priority="120" operator="containsText" text="TBD/??">
      <formula>NOT(ISERROR(SEARCH("TBD/??",BH27)))</formula>
    </cfRule>
    <cfRule type="containsText" dxfId="1291" priority="121" operator="containsText" text="L1 - REDD+ Program Admin and Mgt">
      <formula>NOT(ISERROR(SEARCH("L1 - REDD+ Program Admin and Mgt",BH27)))</formula>
    </cfRule>
  </conditionalFormatting>
  <conditionalFormatting sqref="H9:H10">
    <cfRule type="containsText" dxfId="1290" priority="111" operator="containsText" text="x">
      <formula>NOT(ISERROR(SEARCH("x",H9)))</formula>
    </cfRule>
  </conditionalFormatting>
  <conditionalFormatting sqref="BH10">
    <cfRule type="containsText" dxfId="1289" priority="106" operator="containsText" text="L3 - Subprograms (in planning)">
      <formula>NOT(ISERROR(SEARCH("L3 - Subprograms (in planning)",BH10)))</formula>
    </cfRule>
    <cfRule type="containsText" dxfId="1288" priority="107" operator="containsText" text="L3 - Subprograms (w/plans)">
      <formula>NOT(ISERROR(SEARCH("L3 - Subprograms (w/plans)",BH10)))</formula>
    </cfRule>
    <cfRule type="containsText" dxfId="1287" priority="108" operator="containsText" text="L2 - Policies and Strategies REDD+ and Land-use">
      <formula>NOT(ISERROR(SEARCH("L2 - Policies and Strategies REDD+ and Land-use",BH10)))</formula>
    </cfRule>
    <cfRule type="containsText" dxfId="1286" priority="109" operator="containsText" text="TBD/??">
      <formula>NOT(ISERROR(SEARCH("TBD/??",BH10)))</formula>
    </cfRule>
    <cfRule type="containsText" dxfId="1285" priority="110" operator="containsText" text="L1 - REDD+ Program Admin and Mgt">
      <formula>NOT(ISERROR(SEARCH("L1 - REDD+ Program Admin and Mgt",BH10)))</formula>
    </cfRule>
  </conditionalFormatting>
  <conditionalFormatting sqref="R9:AF10">
    <cfRule type="containsText" dxfId="1284" priority="105" operator="containsText" text="x">
      <formula>NOT(ISERROR(SEARCH("x",R9)))</formula>
    </cfRule>
  </conditionalFormatting>
  <conditionalFormatting sqref="BH9">
    <cfRule type="containsText" dxfId="1283" priority="100" operator="containsText" text="L3 - Subprograms (in planning)">
      <formula>NOT(ISERROR(SEARCH("L3 - Subprograms (in planning)",BH9)))</formula>
    </cfRule>
    <cfRule type="containsText" dxfId="1282" priority="101" operator="containsText" text="L3 - Subprograms (w/plans)">
      <formula>NOT(ISERROR(SEARCH("L3 - Subprograms (w/plans)",BH9)))</formula>
    </cfRule>
    <cfRule type="containsText" dxfId="1281" priority="102" operator="containsText" text="L2 - Policies and Strategies REDD+ and Land-use">
      <formula>NOT(ISERROR(SEARCH("L2 - Policies and Strategies REDD+ and Land-use",BH9)))</formula>
    </cfRule>
    <cfRule type="containsText" dxfId="1280" priority="103" operator="containsText" text="TBD/??">
      <formula>NOT(ISERROR(SEARCH("TBD/??",BH9)))</formula>
    </cfRule>
    <cfRule type="containsText" dxfId="1279" priority="104" operator="containsText" text="L1 - REDD+ Program Admin and Mgt">
      <formula>NOT(ISERROR(SEARCH("L1 - REDD+ Program Admin and Mgt",BH9)))</formula>
    </cfRule>
  </conditionalFormatting>
  <conditionalFormatting sqref="BH79:BH80">
    <cfRule type="containsText" dxfId="1278" priority="90" operator="containsText" text="L3 - Subprograms (in planning)">
      <formula>NOT(ISERROR(SEARCH("L3 - Subprograms (in planning)",BH79)))</formula>
    </cfRule>
    <cfRule type="containsText" dxfId="1277" priority="91" operator="containsText" text="L3 - Subprograms (w/plans)">
      <formula>NOT(ISERROR(SEARCH("L3 - Subprograms (w/plans)",BH79)))</formula>
    </cfRule>
    <cfRule type="containsText" dxfId="1276" priority="92" operator="containsText" text="L2 - Policies and Strategies REDD+ and Land-use">
      <formula>NOT(ISERROR(SEARCH("L2 - Policies and Strategies REDD+ and Land-use",BH79)))</formula>
    </cfRule>
    <cfRule type="containsText" dxfId="1275" priority="93" operator="containsText" text="TBD/??">
      <formula>NOT(ISERROR(SEARCH("TBD/??",BH79)))</formula>
    </cfRule>
    <cfRule type="containsText" dxfId="1274" priority="94" operator="containsText" text="L1 - REDD+ Program Admin and Mgt">
      <formula>NOT(ISERROR(SEARCH("L1 - REDD+ Program Admin and Mgt",BH79)))</formula>
    </cfRule>
  </conditionalFormatting>
  <conditionalFormatting sqref="R79:AF80">
    <cfRule type="containsText" dxfId="1273" priority="89" operator="containsText" text="x">
      <formula>NOT(ISERROR(SEARCH("x",R79)))</formula>
    </cfRule>
  </conditionalFormatting>
  <conditionalFormatting sqref="R8:AF8">
    <cfRule type="containsText" dxfId="1272" priority="83" operator="containsText" text="x">
      <formula>NOT(ISERROR(SEARCH("x",R8)))</formula>
    </cfRule>
  </conditionalFormatting>
  <conditionalFormatting sqref="BH20">
    <cfRule type="containsText" dxfId="1271" priority="65" operator="containsText" text="L3 - Subprograms (in planning)">
      <formula>NOT(ISERROR(SEARCH("L3 - Subprograms (in planning)",BH20)))</formula>
    </cfRule>
    <cfRule type="containsText" dxfId="1270" priority="66" operator="containsText" text="L3 - Subprograms (w/plans)">
      <formula>NOT(ISERROR(SEARCH("L3 - Subprograms (w/plans)",BH20)))</formula>
    </cfRule>
    <cfRule type="containsText" dxfId="1269" priority="67" operator="containsText" text="L2 - Policies and Strategies REDD+ and Land-use">
      <formula>NOT(ISERROR(SEARCH("L2 - Policies and Strategies REDD+ and Land-use",BH20)))</formula>
    </cfRule>
    <cfRule type="containsText" dxfId="1268" priority="68" operator="containsText" text="TBD/??">
      <formula>NOT(ISERROR(SEARCH("TBD/??",BH20)))</formula>
    </cfRule>
    <cfRule type="containsText" dxfId="1267" priority="69" operator="containsText" text="L1 - REDD+ Program Admin and Mgt">
      <formula>NOT(ISERROR(SEARCH("L1 - REDD+ Program Admin and Mgt",BH20)))</formula>
    </cfRule>
  </conditionalFormatting>
  <conditionalFormatting sqref="BH43">
    <cfRule type="containsText" dxfId="1266" priority="60" operator="containsText" text="L3 - Subprograms (in planning)">
      <formula>NOT(ISERROR(SEARCH("L3 - Subprograms (in planning)",BH43)))</formula>
    </cfRule>
    <cfRule type="containsText" dxfId="1265" priority="61" operator="containsText" text="L3 - Subprograms (w/plans)">
      <formula>NOT(ISERROR(SEARCH("L3 - Subprograms (w/plans)",BH43)))</formula>
    </cfRule>
    <cfRule type="containsText" dxfId="1264" priority="62" operator="containsText" text="L2 - Policies and Strategies REDD+ and Land-use">
      <formula>NOT(ISERROR(SEARCH("L2 - Policies and Strategies REDD+ and Land-use",BH43)))</formula>
    </cfRule>
    <cfRule type="containsText" dxfId="1263" priority="63" operator="containsText" text="TBD/??">
      <formula>NOT(ISERROR(SEARCH("TBD/??",BH43)))</formula>
    </cfRule>
    <cfRule type="containsText" dxfId="1262" priority="64" operator="containsText" text="L1 - REDD+ Program Admin and Mgt">
      <formula>NOT(ISERROR(SEARCH("L1 - REDD+ Program Admin and Mgt",BH43)))</formula>
    </cfRule>
  </conditionalFormatting>
  <conditionalFormatting sqref="R43:AF43">
    <cfRule type="containsText" dxfId="1261" priority="59" operator="containsText" text="x">
      <formula>NOT(ISERROR(SEARCH("x",R43)))</formula>
    </cfRule>
  </conditionalFormatting>
  <conditionalFormatting sqref="BH44:BH45">
    <cfRule type="containsText" dxfId="1260" priority="54" operator="containsText" text="L3 - Subprograms (in planning)">
      <formula>NOT(ISERROR(SEARCH("L3 - Subprograms (in planning)",BH44)))</formula>
    </cfRule>
    <cfRule type="containsText" dxfId="1259" priority="55" operator="containsText" text="L3 - Subprograms (w/plans)">
      <formula>NOT(ISERROR(SEARCH("L3 - Subprograms (w/plans)",BH44)))</formula>
    </cfRule>
    <cfRule type="containsText" dxfId="1258" priority="56" operator="containsText" text="L2 - Policies and Strategies REDD+ and Land-use">
      <formula>NOT(ISERROR(SEARCH("L2 - Policies and Strategies REDD+ and Land-use",BH44)))</formula>
    </cfRule>
    <cfRule type="containsText" dxfId="1257" priority="57" operator="containsText" text="TBD/??">
      <formula>NOT(ISERROR(SEARCH("TBD/??",BH44)))</formula>
    </cfRule>
    <cfRule type="containsText" dxfId="1256" priority="58" operator="containsText" text="L1 - REDD+ Program Admin and Mgt">
      <formula>NOT(ISERROR(SEARCH("L1 - REDD+ Program Admin and Mgt",BH44)))</formula>
    </cfRule>
  </conditionalFormatting>
  <conditionalFormatting sqref="R44:AF45">
    <cfRule type="containsText" dxfId="1255" priority="53" operator="containsText" text="x">
      <formula>NOT(ISERROR(SEARCH("x",R44)))</formula>
    </cfRule>
  </conditionalFormatting>
  <conditionalFormatting sqref="BH47">
    <cfRule type="containsText" dxfId="1254" priority="48" operator="containsText" text="L3 - Subprograms (in planning)">
      <formula>NOT(ISERROR(SEARCH("L3 - Subprograms (in planning)",BH47)))</formula>
    </cfRule>
    <cfRule type="containsText" dxfId="1253" priority="49" operator="containsText" text="L3 - Subprograms (w/plans)">
      <formula>NOT(ISERROR(SEARCH("L3 - Subprograms (w/plans)",BH47)))</formula>
    </cfRule>
    <cfRule type="containsText" dxfId="1252" priority="50" operator="containsText" text="L2 - Policies and Strategies REDD+ and Land-use">
      <formula>NOT(ISERROR(SEARCH("L2 - Policies and Strategies REDD+ and Land-use",BH47)))</formula>
    </cfRule>
    <cfRule type="containsText" dxfId="1251" priority="51" operator="containsText" text="TBD/??">
      <formula>NOT(ISERROR(SEARCH("TBD/??",BH47)))</formula>
    </cfRule>
    <cfRule type="containsText" dxfId="1250" priority="52" operator="containsText" text="L1 - REDD+ Program Admin and Mgt">
      <formula>NOT(ISERROR(SEARCH("L1 - REDD+ Program Admin and Mgt",BH47)))</formula>
    </cfRule>
  </conditionalFormatting>
  <conditionalFormatting sqref="R47:AF47">
    <cfRule type="containsText" dxfId="1249" priority="47" operator="containsText" text="x">
      <formula>NOT(ISERROR(SEARCH("x",R47)))</formula>
    </cfRule>
  </conditionalFormatting>
  <conditionalFormatting sqref="R53:AF53">
    <cfRule type="containsText" dxfId="1248" priority="41" operator="containsText" text="x">
      <formula>NOT(ISERROR(SEARCH("x",R53)))</formula>
    </cfRule>
  </conditionalFormatting>
  <conditionalFormatting sqref="BH53">
    <cfRule type="containsText" dxfId="1247" priority="42" operator="containsText" text="L3 - Subprograms (in planning)">
      <formula>NOT(ISERROR(SEARCH("L3 - Subprograms (in planning)",BH53)))</formula>
    </cfRule>
    <cfRule type="containsText" dxfId="1246" priority="43" operator="containsText" text="L3 - Subprograms (w/plans)">
      <formula>NOT(ISERROR(SEARCH("L3 - Subprograms (w/plans)",BH53)))</formula>
    </cfRule>
    <cfRule type="containsText" dxfId="1245" priority="44" operator="containsText" text="L2 - Policies and Strategies REDD+ and Land-use">
      <formula>NOT(ISERROR(SEARCH("L2 - Policies and Strategies REDD+ and Land-use",BH53)))</formula>
    </cfRule>
    <cfRule type="containsText" dxfId="1244" priority="45" operator="containsText" text="TBD/??">
      <formula>NOT(ISERROR(SEARCH("TBD/??",BH53)))</formula>
    </cfRule>
    <cfRule type="containsText" dxfId="1243" priority="46" operator="containsText" text="L1 - REDD+ Program Admin and Mgt">
      <formula>NOT(ISERROR(SEARCH("L1 - REDD+ Program Admin and Mgt",BH53)))</formula>
    </cfRule>
  </conditionalFormatting>
  <conditionalFormatting sqref="BH61">
    <cfRule type="containsText" dxfId="1242" priority="36" operator="containsText" text="L3 - Subprograms (in planning)">
      <formula>NOT(ISERROR(SEARCH("L3 - Subprograms (in planning)",BH61)))</formula>
    </cfRule>
    <cfRule type="containsText" dxfId="1241" priority="37" operator="containsText" text="L3 - Subprograms (w/plans)">
      <formula>NOT(ISERROR(SEARCH("L3 - Subprograms (w/plans)",BH61)))</formula>
    </cfRule>
    <cfRule type="containsText" dxfId="1240" priority="38" operator="containsText" text="L2 - Policies and Strategies REDD+ and Land-use">
      <formula>NOT(ISERROR(SEARCH("L2 - Policies and Strategies REDD+ and Land-use",BH61)))</formula>
    </cfRule>
    <cfRule type="containsText" dxfId="1239" priority="39" operator="containsText" text="TBD/??">
      <formula>NOT(ISERROR(SEARCH("TBD/??",BH61)))</formula>
    </cfRule>
    <cfRule type="containsText" dxfId="1238" priority="40" operator="containsText" text="L1 - REDD+ Program Admin and Mgt">
      <formula>NOT(ISERROR(SEARCH("L1 - REDD+ Program Admin and Mgt",BH61)))</formula>
    </cfRule>
  </conditionalFormatting>
  <conditionalFormatting sqref="R61:AF61">
    <cfRule type="containsText" dxfId="1237" priority="35" operator="containsText" text="x">
      <formula>NOT(ISERROR(SEARCH("x",R61)))</formula>
    </cfRule>
  </conditionalFormatting>
  <conditionalFormatting sqref="R58:AF58">
    <cfRule type="containsText" dxfId="1236" priority="29" operator="containsText" text="x">
      <formula>NOT(ISERROR(SEARCH("x",R58)))</formula>
    </cfRule>
  </conditionalFormatting>
  <conditionalFormatting sqref="R12:S12 U12:AF12">
    <cfRule type="containsText" dxfId="1235" priority="23" operator="containsText" text="x">
      <formula>NOT(ISERROR(SEARCH("x",R12)))</formula>
    </cfRule>
  </conditionalFormatting>
  <conditionalFormatting sqref="H102">
    <cfRule type="containsText" dxfId="1234" priority="22" operator="containsText" text="x">
      <formula>NOT(ISERROR(SEARCH("x",H102)))</formula>
    </cfRule>
  </conditionalFormatting>
  <conditionalFormatting sqref="BH17:BH18">
    <cfRule type="containsText" dxfId="1233" priority="17" operator="containsText" text="L3 - Subprograms (in planning)">
      <formula>NOT(ISERROR(SEARCH("L3 - Subprograms (in planning)",BH17)))</formula>
    </cfRule>
    <cfRule type="containsText" dxfId="1232" priority="18" operator="containsText" text="L3 - Subprograms (w/plans)">
      <formula>NOT(ISERROR(SEARCH("L3 - Subprograms (w/plans)",BH17)))</formula>
    </cfRule>
    <cfRule type="containsText" dxfId="1231" priority="19" operator="containsText" text="L2 - Policies and Strategies REDD+ and Land-use">
      <formula>NOT(ISERROR(SEARCH("L2 - Policies and Strategies REDD+ and Land-use",BH17)))</formula>
    </cfRule>
    <cfRule type="containsText" dxfId="1230" priority="20" operator="containsText" text="TBD/??">
      <formula>NOT(ISERROR(SEARCH("TBD/??",BH17)))</formula>
    </cfRule>
    <cfRule type="containsText" dxfId="1229" priority="21" operator="containsText" text="L1 - REDD+ Program Admin and Mgt">
      <formula>NOT(ISERROR(SEARCH("L1 - REDD+ Program Admin and Mgt",BH17)))</formula>
    </cfRule>
  </conditionalFormatting>
  <conditionalFormatting sqref="BH12">
    <cfRule type="containsText" dxfId="1228" priority="12" operator="containsText" text="L3 - Subprograms (in planning)">
      <formula>NOT(ISERROR(SEARCH("L3 - Subprograms (in planning)",BH12)))</formula>
    </cfRule>
    <cfRule type="containsText" dxfId="1227" priority="13" operator="containsText" text="L3 - Subprograms (w/plans)">
      <formula>NOT(ISERROR(SEARCH("L3 - Subprograms (w/plans)",BH12)))</formula>
    </cfRule>
    <cfRule type="containsText" dxfId="1226" priority="14" operator="containsText" text="L2 - Policies and Strategies REDD+ and Land-use">
      <formula>NOT(ISERROR(SEARCH("L2 - Policies and Strategies REDD+ and Land-use",BH12)))</formula>
    </cfRule>
    <cfRule type="containsText" dxfId="1225" priority="15" operator="containsText" text="TBD/??">
      <formula>NOT(ISERROR(SEARCH("TBD/??",BH12)))</formula>
    </cfRule>
    <cfRule type="containsText" dxfId="1224" priority="16" operator="containsText" text="L1 - REDD+ Program Admin and Mgt">
      <formula>NOT(ISERROR(SEARCH("L1 - REDD+ Program Admin and Mgt",BH12)))</formula>
    </cfRule>
  </conditionalFormatting>
  <conditionalFormatting sqref="BH58">
    <cfRule type="containsText" dxfId="1223" priority="7" operator="containsText" text="L3 - Subprograms (in planning)">
      <formula>NOT(ISERROR(SEARCH("L3 - Subprograms (in planning)",BH58)))</formula>
    </cfRule>
    <cfRule type="containsText" dxfId="1222" priority="8" operator="containsText" text="L3 - Subprograms (w/plans)">
      <formula>NOT(ISERROR(SEARCH("L3 - Subprograms (w/plans)",BH58)))</formula>
    </cfRule>
    <cfRule type="containsText" dxfId="1221" priority="9" operator="containsText" text="L2 - Policies and Strategies REDD+ and Land-use">
      <formula>NOT(ISERROR(SEARCH("L2 - Policies and Strategies REDD+ and Land-use",BH58)))</formula>
    </cfRule>
    <cfRule type="containsText" dxfId="1220" priority="10" operator="containsText" text="TBD/??">
      <formula>NOT(ISERROR(SEARCH("TBD/??",BH58)))</formula>
    </cfRule>
    <cfRule type="containsText" dxfId="1219" priority="11" operator="containsText" text="L1 - REDD+ Program Admin and Mgt">
      <formula>NOT(ISERROR(SEARCH("L1 - REDD+ Program Admin and Mgt",BH58)))</formula>
    </cfRule>
  </conditionalFormatting>
  <conditionalFormatting sqref="BH8">
    <cfRule type="containsText" dxfId="1218" priority="2" operator="containsText" text="L3 - Subprograms (in planning)">
      <formula>NOT(ISERROR(SEARCH("L3 - Subprograms (in planning)",BH8)))</formula>
    </cfRule>
    <cfRule type="containsText" dxfId="1217" priority="3" operator="containsText" text="L3 - Subprograms (w/plans)">
      <formula>NOT(ISERROR(SEARCH("L3 - Subprograms (w/plans)",BH8)))</formula>
    </cfRule>
    <cfRule type="containsText" dxfId="1216" priority="4" operator="containsText" text="L2 - Policies and Strategies REDD+ and Land-use">
      <formula>NOT(ISERROR(SEARCH("L2 - Policies and Strategies REDD+ and Land-use",BH8)))</formula>
    </cfRule>
    <cfRule type="containsText" dxfId="1215" priority="5" operator="containsText" text="TBD/??">
      <formula>NOT(ISERROR(SEARCH("TBD/??",BH8)))</formula>
    </cfRule>
    <cfRule type="containsText" dxfId="1214" priority="6" operator="containsText" text="L1 - REDD+ Program Admin and Mgt">
      <formula>NOT(ISERROR(SEARCH("L1 - REDD+ Program Admin and Mgt",BH8)))</formula>
    </cfRule>
  </conditionalFormatting>
  <conditionalFormatting sqref="H45">
    <cfRule type="containsText" dxfId="1213" priority="1" operator="containsText" text="x">
      <formula>NOT(ISERROR(SEARCH("x",H45)))</formula>
    </cfRule>
  </conditionalFormatting>
  <dataValidations disablePrompts="1" count="1">
    <dataValidation type="list" allowBlank="1" showInputMessage="1" showErrorMessage="1" sqref="AH49 BH49 AH64 BH64 AH88 AH96 AH71 AH73 AH40 AH98 AH22 AH51 AH24 AH67:AH69 BH17:BH18 AH77 AH83:AH84 AH86 BH96 AH90 BH77 AH92:AH94 BH92:BH94 BH24 AH29 BH27:BH29 BH33:BH35 BH31 AH33:AH35 BH40 BH51 BH83:BH84 BH98 BH88:BH90 BH22 BH75 AH14:AH15 BH86 BH67:BH69 BH71:BH73 BH6:BH10 BH14:BH15 BH12 BH58 AH12 AH6:AH10 AH61:AH62 AH17:AH18 AH58 AH20 BH20 AH43:AH45 BH43:BH45 AH47 BH47 AH53 BH53 BH61:BH62 BH79:BH81 AH79:AH81">
      <formula1>#REF!</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28" operator="containsText" text="x" id="{70BC42B3-3B03-43DA-B8F0-86346D94FE67}">
            <xm:f>NOT(ISERROR(SEARCH("x",'\EEVA\Mis Archivos\Laborales\Casos FONAFIFO\Caso Estrategia REDD\Análisis\Implementación\[Costos Institucionales Nuevas PAMs ENREDD+ V3.xlsb]PAAs (E2015)'!#REF!)))</xm:f>
            <x14:dxf>
              <fill>
                <patternFill>
                  <bgColor theme="0" tint="-0.24994659260841701"/>
                </patternFill>
              </fill>
            </x14:dxf>
          </x14:cfRule>
          <xm:sqref>H89</xm:sqref>
        </x14:conditionalFormatting>
        <x14:conditionalFormatting xmlns:xm="http://schemas.microsoft.com/office/excel/2006/main">
          <x14:cfRule type="containsText" priority="727" operator="containsText" text="x" id="{EF4B98E6-2620-4728-A9E0-4979F7C833A9}">
            <xm:f>NOT(ISERROR(SEARCH("x",'\EEVA\Mis Archivos\Laborales\Casos FONAFIFO\Caso Estrategia REDD\Análisis\Implementación\[Costos Institucionales Nuevas PAMs ENREDD+ V3.xlsb]PAAs (E2015)'!#REF!)))</xm:f>
            <x14:dxf>
              <fill>
                <patternFill>
                  <bgColor theme="0" tint="-0.24994659260841701"/>
                </patternFill>
              </fill>
            </x14:dxf>
          </x14:cfRule>
          <xm:sqref>H17:H18</xm:sqref>
        </x14:conditionalFormatting>
        <x14:conditionalFormatting xmlns:xm="http://schemas.microsoft.com/office/excel/2006/main">
          <x14:cfRule type="containsText" priority="733" operator="containsText" text="x" id="{C4C0599B-860E-449A-90A1-F943CFDBB03C}">
            <xm:f>NOT(ISERROR(SEARCH("x",'\EEVA\Mis Archivos\Laborales\Casos FONAFIFO\Caso Estrategia REDD\Análisis\Implementación\[Costos Institucionales Nuevas PAMs ENREDD+ V3.xlsb]PAAs (E2015)'!#REF!)))</xm:f>
            <x14:dxf>
              <fill>
                <patternFill>
                  <bgColor theme="0" tint="-0.24994659260841701"/>
                </patternFill>
              </fill>
            </x14:dxf>
          </x14:cfRule>
          <xm:sqref>H20</xm:sqref>
        </x14:conditionalFormatting>
        <x14:conditionalFormatting xmlns:xm="http://schemas.microsoft.com/office/excel/2006/main">
          <x14:cfRule type="containsText" priority="537" operator="containsText" text="x" id="{817F37CB-9789-471D-9295-AEBE909511CE}">
            <xm:f>NOT(ISERROR(SEARCH("x",'\EEVA\Mis Archivos\Laborales\Casos FONAFIFO\Caso Estrategia REDD\Análisis\Implementación\[Costos Institucionales Nuevas PAMs ENREDD+ V3.xlsb]PAAs (E2015)'!#REF!)))</xm:f>
            <x14:dxf>
              <fill>
                <patternFill>
                  <bgColor theme="0" tint="-0.24994659260841701"/>
                </patternFill>
              </fill>
            </x14:dxf>
          </x14:cfRule>
          <xm:sqref>H77</xm:sqref>
        </x14:conditionalFormatting>
        <x14:conditionalFormatting xmlns:xm="http://schemas.microsoft.com/office/excel/2006/main">
          <x14:cfRule type="containsText" priority="744" operator="containsText" text="x" id="{FD47D4EC-CD02-423F-BE66-4F4CD697F03D}">
            <xm:f>NOT(ISERROR(SEARCH("x",'\EEVA\Mis Archivos\Laborales\Casos FONAFIFO\Caso Estrategia REDD\Análisis\Implementación\[Costos Institucionales Nuevas PAMs ENREDD+ V3.xlsb]PAAs (E2015)'!#REF!)))</xm:f>
            <x14:dxf>
              <fill>
                <patternFill>
                  <bgColor theme="0" tint="-0.24994659260841701"/>
                </patternFill>
              </fill>
            </x14:dxf>
          </x14:cfRule>
          <xm:sqref>H84</xm:sqref>
        </x14:conditionalFormatting>
        <x14:conditionalFormatting xmlns:xm="http://schemas.microsoft.com/office/excel/2006/main">
          <x14:cfRule type="containsText" priority="750" operator="containsText" text="x" id="{6B492419-6727-4998-9AA7-FD46C75AC45E}">
            <xm:f>NOT(ISERROR(SEARCH("x",'\EEVA\Mis Archivos\Laborales\Casos FONAFIFO\Caso Estrategia REDD\Análisis\Implementación\[Costos Institucionales Nuevas PAMs ENREDD+ V3.xlsb]PAAs (E2015)'!#REF!)))</xm:f>
            <x14:dxf>
              <fill>
                <patternFill>
                  <bgColor theme="0" tint="-0.24994659260841701"/>
                </patternFill>
              </fill>
            </x14:dxf>
          </x14:cfRule>
          <xm:sqref>H96</xm:sqref>
        </x14:conditionalFormatting>
        <x14:conditionalFormatting xmlns:xm="http://schemas.microsoft.com/office/excel/2006/main">
          <x14:cfRule type="containsText" priority="432" operator="containsText" text="x" id="{55B5C67F-CD11-473C-BD6A-FDE6FDECF210}">
            <xm:f>NOT(ISERROR(SEARCH("x",'\EEVA\Mis Archivos\Laborales\Casos FONAFIFO\Caso Estrategia REDD\Análisis\Implementación\[Costos Institucionales Nuevas PAMs ENREDD+ V3.xlsb]PAAs (E2015)'!#REF!)))</xm:f>
            <x14:dxf>
              <fill>
                <patternFill>
                  <bgColor theme="0" tint="-0.24994659260841701"/>
                </patternFill>
              </fill>
            </x14:dxf>
          </x14:cfRule>
          <xm:sqref>R77:AF77</xm:sqref>
        </x14:conditionalFormatting>
        <x14:conditionalFormatting xmlns:xm="http://schemas.microsoft.com/office/excel/2006/main">
          <x14:cfRule type="containsText" priority="425" operator="containsText" text="x" id="{403B00E5-069E-476A-8268-4716E176CEF3}">
            <xm:f>NOT(ISERROR(SEARCH("x",'\EEVA\Mis Archivos\Laborales\Casos FONAFIFO\Caso Estrategia REDD\Análisis\Implementación\[Costos Institucionales Nuevas PAMs ENREDD+ V3.xlsb]PAAs (E2015)'!#REF!)))</xm:f>
            <x14:dxf>
              <fill>
                <patternFill>
                  <bgColor theme="0" tint="-0.24994659260841701"/>
                </patternFill>
              </fill>
            </x14:dxf>
          </x14:cfRule>
          <xm:sqref>R84:AF84</xm:sqref>
        </x14:conditionalFormatting>
        <x14:conditionalFormatting xmlns:xm="http://schemas.microsoft.com/office/excel/2006/main">
          <x14:cfRule type="containsText" priority="395" operator="containsText" text="x" id="{D0A32182-E98E-428B-A9FE-99B2CDFC32E3}">
            <xm:f>NOT(ISERROR(SEARCH("x",'\EEVA\Mis Archivos\Laborales\Casos FONAFIFO\Caso Estrategia REDD\Análisis\Implementación\[Costos Institucionales Nuevas PAMs ENREDD+ V3.xlsb]PAAs (E2015)'!#REF!)))</xm:f>
            <x14:dxf>
              <fill>
                <patternFill>
                  <bgColor theme="0" tint="-0.24994659260841701"/>
                </patternFill>
              </fill>
            </x14:dxf>
          </x14:cfRule>
          <xm:sqref>R96:AF96</xm:sqref>
        </x14:conditionalFormatting>
        <x14:conditionalFormatting xmlns:xm="http://schemas.microsoft.com/office/excel/2006/main">
          <x14:cfRule type="containsText" priority="77" operator="containsText" text="x" id="{75CA5884-5B30-4E6F-9D01-5F4AB41D90F0}">
            <xm:f>NOT(ISERROR(SEARCH("x",'\EEVA\Mis Archivos\Laborales\Casos FONAFIFO\Caso Estrategia REDD\Análisis\Implementación\[Costos Institucionales Nuevas PAMs ENREDD+ V3.xlsb]PAAs (E2015)'!#REF!)))</xm:f>
            <x14:dxf>
              <fill>
                <patternFill>
                  <bgColor theme="0" tint="-0.24994659260841701"/>
                </patternFill>
              </fill>
            </x14:dxf>
          </x14:cfRule>
          <xm:sqref>R17:AF17</xm:sqref>
        </x14:conditionalFormatting>
        <x14:conditionalFormatting xmlns:xm="http://schemas.microsoft.com/office/excel/2006/main">
          <x14:cfRule type="containsText" priority="71" operator="containsText" text="x" id="{0D8F25BE-4053-4DE9-9C2F-0D3982D8C057}">
            <xm:f>NOT(ISERROR(SEARCH("x",'\EEVA\Mis Archivos\Laborales\Casos FONAFIFO\Caso Estrategia REDD\Análisis\Implementación\[Costos Institucionales Nuevas PAMs ENREDD+ V3.xlsb]PAAs (E2015)'!#REF!)))</xm:f>
            <x14:dxf>
              <fill>
                <patternFill>
                  <bgColor theme="0" tint="-0.24994659260841701"/>
                </patternFill>
              </fill>
            </x14:dxf>
          </x14:cfRule>
          <xm:sqref>R18:AF18</xm:sqref>
        </x14:conditionalFormatting>
        <x14:conditionalFormatting xmlns:xm="http://schemas.microsoft.com/office/excel/2006/main">
          <x14:cfRule type="containsText" priority="70" operator="containsText" text="x" id="{FAB0DF05-4A31-40A0-9BC7-558B7746470A}">
            <xm:f>NOT(ISERROR(SEARCH("x",'\EEVA\Mis Archivos\Laborales\Casos FONAFIFO\Caso Estrategia REDD\Análisis\Implementación\[Costos Institucionales Nuevas PAMs ENREDD+ V3.xlsb]PAAs (E2015)'!#REF!)))</xm:f>
            <x14:dxf>
              <fill>
                <patternFill>
                  <bgColor theme="0" tint="-0.24994659260841701"/>
                </patternFill>
              </fill>
            </x14:dxf>
          </x14:cfRule>
          <xm:sqref>R20:AF20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A102"/>
  <sheetViews>
    <sheetView showGridLines="0" zoomScale="106" zoomScaleNormal="106" zoomScalePageLayoutView="130" workbookViewId="0">
      <pane ySplit="3" topLeftCell="A4" activePane="bottomLeft" state="frozen"/>
      <selection pane="bottomLeft" activeCell="N1" sqref="N1:BS1048576"/>
    </sheetView>
  </sheetViews>
  <sheetFormatPr baseColWidth="10" defaultColWidth="8.7109375" defaultRowHeight="12.75" x14ac:dyDescent="0.25"/>
  <cols>
    <col min="1" max="1" width="8.28515625" style="102" customWidth="1"/>
    <col min="2" max="2" width="90.7109375" style="102" hidden="1" customWidth="1"/>
    <col min="3" max="3" width="4.85546875" style="102" hidden="1" customWidth="1"/>
    <col min="4" max="5" width="10.140625" style="102" hidden="1" customWidth="1"/>
    <col min="6" max="6" width="9.28515625" style="102" hidden="1" customWidth="1"/>
    <col min="7" max="7" width="24.140625" style="102" hidden="1" customWidth="1"/>
    <col min="8" max="8" width="13.28515625" style="350" hidden="1" customWidth="1"/>
    <col min="9" max="9" width="16.7109375" style="102" hidden="1" customWidth="1"/>
    <col min="10" max="12" width="18.5703125" style="102" hidden="1" customWidth="1"/>
    <col min="13" max="13" width="5.85546875" style="102" customWidth="1"/>
    <col min="14" max="14" width="90.7109375" style="102" customWidth="1"/>
    <col min="15" max="60" width="1.7109375" style="102" hidden="1" customWidth="1"/>
    <col min="61" max="70" width="10.7109375" style="102" hidden="1" customWidth="1"/>
    <col min="71" max="71" width="10.7109375" style="102" customWidth="1"/>
    <col min="72" max="72" width="9.140625" style="102" bestFit="1" customWidth="1"/>
    <col min="73" max="73" width="9" style="102" customWidth="1"/>
    <col min="74" max="74" width="9" style="102" bestFit="1" customWidth="1"/>
    <col min="75" max="75" width="9.85546875" style="102" customWidth="1"/>
    <col min="76" max="83" width="10.7109375" style="102" hidden="1" customWidth="1"/>
    <col min="84" max="84" width="11.5703125" style="102" hidden="1" customWidth="1"/>
    <col min="85" max="85" width="10.7109375" style="102" customWidth="1"/>
    <col min="86" max="94" width="10.7109375" style="102" hidden="1" customWidth="1"/>
    <col min="95" max="95" width="10.7109375" style="102" customWidth="1"/>
    <col min="96" max="96" width="8.7109375" style="102" customWidth="1"/>
    <col min="97" max="97" width="9.7109375" style="102" customWidth="1"/>
    <col min="98" max="102" width="8.7109375" style="102" customWidth="1"/>
    <col min="103" max="103" width="12" style="102" customWidth="1"/>
    <col min="104" max="16384" width="8.7109375" style="102"/>
  </cols>
  <sheetData>
    <row r="1" spans="2:105" s="103" customFormat="1" ht="24.95" customHeight="1" thickBot="1" x14ac:dyDescent="0.3">
      <c r="B1" s="371" t="s">
        <v>225</v>
      </c>
      <c r="C1" s="371"/>
      <c r="D1" s="371"/>
      <c r="E1" s="371"/>
      <c r="F1" s="371"/>
      <c r="G1" s="371"/>
      <c r="H1" s="371"/>
      <c r="N1" s="371" t="s">
        <v>389</v>
      </c>
      <c r="O1" s="587" t="s">
        <v>0</v>
      </c>
      <c r="P1" s="588"/>
      <c r="Q1" s="588"/>
      <c r="R1" s="588"/>
      <c r="S1" s="588"/>
      <c r="T1" s="588"/>
      <c r="U1" s="588"/>
      <c r="V1" s="588"/>
      <c r="W1" s="588"/>
      <c r="X1" s="588"/>
      <c r="Y1" s="588"/>
      <c r="Z1" s="588"/>
      <c r="AA1" s="588"/>
      <c r="AB1" s="588"/>
      <c r="AC1" s="588"/>
      <c r="AD1" s="588"/>
      <c r="AE1" s="589"/>
      <c r="AF1" s="590" t="s">
        <v>260</v>
      </c>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2"/>
      <c r="BF1" s="593" t="s">
        <v>261</v>
      </c>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5"/>
    </row>
    <row r="2" spans="2:105" s="103" customFormat="1" ht="29.25" customHeight="1" x14ac:dyDescent="0.25">
      <c r="B2" s="598" t="s">
        <v>408</v>
      </c>
      <c r="C2" s="372" t="s">
        <v>354</v>
      </c>
      <c r="D2" s="567" t="s">
        <v>0</v>
      </c>
      <c r="E2" s="568"/>
      <c r="F2" s="568"/>
      <c r="G2" s="569"/>
      <c r="H2" s="105" t="s">
        <v>247</v>
      </c>
      <c r="I2" s="105" t="s">
        <v>241</v>
      </c>
      <c r="J2" s="559" t="s">
        <v>251</v>
      </c>
      <c r="K2" s="560"/>
      <c r="L2" s="561"/>
      <c r="N2" s="598" t="s">
        <v>416</v>
      </c>
      <c r="O2" s="572" t="s">
        <v>263</v>
      </c>
      <c r="P2" s="576" t="s">
        <v>264</v>
      </c>
      <c r="Q2" s="576" t="s">
        <v>265</v>
      </c>
      <c r="R2" s="576"/>
      <c r="S2" s="576"/>
      <c r="T2" s="576"/>
      <c r="U2" s="576"/>
      <c r="V2" s="576"/>
      <c r="W2" s="576"/>
      <c r="X2" s="576"/>
      <c r="Y2" s="576"/>
      <c r="Z2" s="576"/>
      <c r="AA2" s="576"/>
      <c r="AB2" s="576"/>
      <c r="AC2" s="576"/>
      <c r="AD2" s="576"/>
      <c r="AE2" s="577"/>
      <c r="AF2" s="562" t="s">
        <v>266</v>
      </c>
      <c r="AG2" s="563" t="s">
        <v>267</v>
      </c>
      <c r="AH2" s="563" t="s">
        <v>268</v>
      </c>
      <c r="AI2" s="563" t="s">
        <v>269</v>
      </c>
      <c r="AJ2" s="578" t="s">
        <v>270</v>
      </c>
      <c r="AK2" s="579"/>
      <c r="AL2" s="579"/>
      <c r="AM2" s="579"/>
      <c r="AN2" s="579"/>
      <c r="AO2" s="579"/>
      <c r="AP2" s="579"/>
      <c r="AQ2" s="579"/>
      <c r="AR2" s="579"/>
      <c r="AS2" s="579"/>
      <c r="AT2" s="580"/>
      <c r="AU2" s="578" t="s">
        <v>271</v>
      </c>
      <c r="AV2" s="579"/>
      <c r="AW2" s="579"/>
      <c r="AX2" s="579"/>
      <c r="AY2" s="579"/>
      <c r="AZ2" s="579"/>
      <c r="BA2" s="579"/>
      <c r="BB2" s="579"/>
      <c r="BC2" s="579"/>
      <c r="BD2" s="579"/>
      <c r="BE2" s="580"/>
      <c r="BF2" s="573" t="s">
        <v>272</v>
      </c>
      <c r="BG2" s="571" t="s">
        <v>273</v>
      </c>
      <c r="BH2" s="571" t="s">
        <v>274</v>
      </c>
      <c r="BI2" s="581" t="s">
        <v>275</v>
      </c>
      <c r="BJ2" s="519"/>
      <c r="BK2" s="520"/>
      <c r="BL2" s="520"/>
      <c r="BM2" s="520"/>
      <c r="BN2" s="520"/>
      <c r="BO2" s="520"/>
      <c r="BP2" s="520"/>
      <c r="BQ2" s="520"/>
      <c r="BR2" s="520"/>
      <c r="BS2" s="596" t="s">
        <v>762</v>
      </c>
      <c r="BT2" s="602" t="s">
        <v>277</v>
      </c>
      <c r="BU2" s="584"/>
      <c r="BV2" s="584"/>
      <c r="BW2" s="585"/>
      <c r="BX2" s="521"/>
      <c r="BY2" s="520"/>
      <c r="BZ2" s="520"/>
      <c r="CA2" s="520"/>
      <c r="CB2" s="520"/>
      <c r="CC2" s="520"/>
      <c r="CD2" s="520"/>
      <c r="CE2" s="520"/>
      <c r="CF2" s="520"/>
      <c r="CG2" s="600" t="s">
        <v>763</v>
      </c>
      <c r="CH2" s="520"/>
      <c r="CI2" s="520"/>
      <c r="CJ2" s="520"/>
      <c r="CK2" s="520"/>
      <c r="CL2" s="520"/>
      <c r="CM2" s="520"/>
      <c r="CN2" s="520"/>
      <c r="CO2" s="520"/>
      <c r="CP2" s="520"/>
      <c r="CQ2" s="600" t="s">
        <v>297</v>
      </c>
      <c r="CR2" s="583" t="s">
        <v>280</v>
      </c>
      <c r="CS2" s="584"/>
      <c r="CT2" s="584"/>
      <c r="CU2" s="584"/>
      <c r="CV2" s="584"/>
      <c r="CW2" s="584"/>
      <c r="CX2" s="584"/>
      <c r="CY2" s="584"/>
      <c r="CZ2" s="586"/>
    </row>
    <row r="3" spans="2:105" s="103" customFormat="1" ht="46.5" customHeight="1" x14ac:dyDescent="0.25">
      <c r="B3" s="599"/>
      <c r="C3" s="373"/>
      <c r="D3" s="107" t="s">
        <v>143</v>
      </c>
      <c r="E3" s="108" t="s">
        <v>417</v>
      </c>
      <c r="F3" s="108" t="s">
        <v>418</v>
      </c>
      <c r="G3" s="109" t="s">
        <v>142</v>
      </c>
      <c r="H3" s="110" t="s">
        <v>243</v>
      </c>
      <c r="I3" s="110" t="s">
        <v>224</v>
      </c>
      <c r="J3" s="562" t="s">
        <v>252</v>
      </c>
      <c r="K3" s="563"/>
      <c r="L3" s="564"/>
      <c r="N3" s="599"/>
      <c r="O3" s="572"/>
      <c r="P3" s="576"/>
      <c r="Q3" s="374" t="s">
        <v>1</v>
      </c>
      <c r="R3" s="374" t="s">
        <v>2</v>
      </c>
      <c r="S3" s="374" t="s">
        <v>281</v>
      </c>
      <c r="T3" s="374" t="s">
        <v>3</v>
      </c>
      <c r="U3" s="374" t="s">
        <v>282</v>
      </c>
      <c r="V3" s="374" t="s">
        <v>283</v>
      </c>
      <c r="W3" s="374" t="s">
        <v>4</v>
      </c>
      <c r="X3" s="374" t="s">
        <v>284</v>
      </c>
      <c r="Y3" s="374" t="s">
        <v>285</v>
      </c>
      <c r="Z3" s="374" t="s">
        <v>286</v>
      </c>
      <c r="AA3" s="374" t="s">
        <v>287</v>
      </c>
      <c r="AB3" s="374" t="s">
        <v>5</v>
      </c>
      <c r="AC3" s="374" t="s">
        <v>288</v>
      </c>
      <c r="AD3" s="374" t="s">
        <v>6</v>
      </c>
      <c r="AE3" s="375" t="s">
        <v>289</v>
      </c>
      <c r="AF3" s="562"/>
      <c r="AG3" s="563"/>
      <c r="AH3" s="563"/>
      <c r="AI3" s="563"/>
      <c r="AJ3" s="113">
        <v>2017</v>
      </c>
      <c r="AK3" s="113">
        <v>2018</v>
      </c>
      <c r="AL3" s="113">
        <v>2019</v>
      </c>
      <c r="AM3" s="113">
        <v>2020</v>
      </c>
      <c r="AN3" s="113">
        <v>2021</v>
      </c>
      <c r="AO3" s="113">
        <v>2022</v>
      </c>
      <c r="AP3" s="113">
        <v>2023</v>
      </c>
      <c r="AQ3" s="113">
        <v>2024</v>
      </c>
      <c r="AR3" s="113">
        <v>2025</v>
      </c>
      <c r="AS3" s="113" t="s">
        <v>290</v>
      </c>
      <c r="AT3" s="113" t="s">
        <v>291</v>
      </c>
      <c r="AU3" s="113">
        <v>2017</v>
      </c>
      <c r="AV3" s="113">
        <v>2018</v>
      </c>
      <c r="AW3" s="113">
        <v>2019</v>
      </c>
      <c r="AX3" s="113">
        <v>2020</v>
      </c>
      <c r="AY3" s="113">
        <v>2021</v>
      </c>
      <c r="AZ3" s="113">
        <v>2022</v>
      </c>
      <c r="BA3" s="113">
        <v>2023</v>
      </c>
      <c r="BB3" s="113">
        <v>2024</v>
      </c>
      <c r="BC3" s="113">
        <v>2025</v>
      </c>
      <c r="BD3" s="113" t="s">
        <v>290</v>
      </c>
      <c r="BE3" s="113" t="s">
        <v>291</v>
      </c>
      <c r="BF3" s="573"/>
      <c r="BG3" s="571"/>
      <c r="BH3" s="571"/>
      <c r="BI3" s="582"/>
      <c r="BJ3" s="510">
        <v>2017</v>
      </c>
      <c r="BK3" s="510">
        <v>2018</v>
      </c>
      <c r="BL3" s="510">
        <v>2019</v>
      </c>
      <c r="BM3" s="510">
        <v>2020</v>
      </c>
      <c r="BN3" s="510">
        <v>2021</v>
      </c>
      <c r="BO3" s="510">
        <v>2022</v>
      </c>
      <c r="BP3" s="510">
        <v>2023</v>
      </c>
      <c r="BQ3" s="510">
        <v>2024</v>
      </c>
      <c r="BR3" s="510">
        <v>2025</v>
      </c>
      <c r="BS3" s="597"/>
      <c r="BT3" s="434" t="s">
        <v>760</v>
      </c>
      <c r="BU3" s="434" t="s">
        <v>294</v>
      </c>
      <c r="BV3" s="434" t="s">
        <v>759</v>
      </c>
      <c r="BW3" s="116" t="s">
        <v>761</v>
      </c>
      <c r="BX3" s="114">
        <v>2017</v>
      </c>
      <c r="BY3" s="510">
        <v>2018</v>
      </c>
      <c r="BZ3" s="510">
        <v>2019</v>
      </c>
      <c r="CA3" s="510">
        <v>2020</v>
      </c>
      <c r="CB3" s="510">
        <v>2021</v>
      </c>
      <c r="CC3" s="510">
        <v>2022</v>
      </c>
      <c r="CD3" s="510">
        <v>2023</v>
      </c>
      <c r="CE3" s="510">
        <v>2024</v>
      </c>
      <c r="CF3" s="511">
        <v>2025</v>
      </c>
      <c r="CG3" s="601"/>
      <c r="CH3" s="119">
        <v>2017</v>
      </c>
      <c r="CI3" s="120">
        <v>2018</v>
      </c>
      <c r="CJ3" s="120">
        <v>2019</v>
      </c>
      <c r="CK3" s="120">
        <v>2020</v>
      </c>
      <c r="CL3" s="120">
        <v>2021</v>
      </c>
      <c r="CM3" s="120">
        <v>2022</v>
      </c>
      <c r="CN3" s="120">
        <v>2023</v>
      </c>
      <c r="CO3" s="120">
        <v>2024</v>
      </c>
      <c r="CP3" s="120">
        <v>2025</v>
      </c>
      <c r="CQ3" s="601"/>
      <c r="CR3" s="114" t="s">
        <v>298</v>
      </c>
      <c r="CS3" s="115" t="s">
        <v>299</v>
      </c>
      <c r="CT3" s="115" t="s">
        <v>300</v>
      </c>
      <c r="CU3" s="115" t="s">
        <v>301</v>
      </c>
      <c r="CV3" s="115" t="s">
        <v>302</v>
      </c>
      <c r="CW3" s="115" t="s">
        <v>303</v>
      </c>
      <c r="CX3" s="115" t="s">
        <v>304</v>
      </c>
      <c r="CY3" s="115" t="s">
        <v>305</v>
      </c>
      <c r="CZ3" s="122" t="s">
        <v>306</v>
      </c>
    </row>
    <row r="4" spans="2:105" s="103" customFormat="1" ht="26.1" customHeight="1" x14ac:dyDescent="0.25">
      <c r="B4" s="98" t="s">
        <v>7</v>
      </c>
      <c r="C4" s="99"/>
      <c r="D4" s="125"/>
      <c r="E4" s="126"/>
      <c r="F4" s="127"/>
      <c r="G4" s="58"/>
      <c r="H4" s="57"/>
      <c r="I4" s="57"/>
      <c r="J4" s="128"/>
      <c r="K4" s="129"/>
      <c r="L4" s="130"/>
      <c r="N4" s="98" t="s">
        <v>7</v>
      </c>
      <c r="O4" s="131"/>
      <c r="P4" s="126"/>
      <c r="Q4" s="126"/>
      <c r="R4" s="126"/>
      <c r="S4" s="126"/>
      <c r="T4" s="126"/>
      <c r="U4" s="126"/>
      <c r="V4" s="126"/>
      <c r="W4" s="126"/>
      <c r="X4" s="126"/>
      <c r="Y4" s="126"/>
      <c r="Z4" s="126"/>
      <c r="AA4" s="126"/>
      <c r="AB4" s="126"/>
      <c r="AC4" s="126"/>
      <c r="AD4" s="126"/>
      <c r="AE4" s="132"/>
      <c r="AF4" s="131"/>
      <c r="AG4" s="126"/>
      <c r="AH4" s="126"/>
      <c r="AI4" s="133"/>
      <c r="AJ4" s="133"/>
      <c r="AK4" s="133"/>
      <c r="AL4" s="133"/>
      <c r="AM4" s="133"/>
      <c r="AN4" s="133"/>
      <c r="AO4" s="133"/>
      <c r="AP4" s="133"/>
      <c r="AQ4" s="133"/>
      <c r="AR4" s="133"/>
      <c r="AS4" s="133"/>
      <c r="AT4" s="133"/>
      <c r="AU4" s="133"/>
      <c r="AV4" s="133"/>
      <c r="AW4" s="133"/>
      <c r="AX4" s="133"/>
      <c r="AY4" s="133"/>
      <c r="AZ4" s="133"/>
      <c r="BA4" s="133"/>
      <c r="BB4" s="133"/>
      <c r="BC4" s="133"/>
      <c r="BD4" s="126"/>
      <c r="BE4" s="132"/>
      <c r="BF4" s="131"/>
      <c r="BG4" s="126"/>
      <c r="BH4" s="134"/>
      <c r="BI4" s="486">
        <f>+'Info recibida'!BJ4/550</f>
        <v>0</v>
      </c>
      <c r="BJ4" s="133">
        <f>+'Info recibida'!BK4/550</f>
        <v>2362607.749090909</v>
      </c>
      <c r="BK4" s="133">
        <f>+'Info recibida'!BL4/550</f>
        <v>6218861.0597454552</v>
      </c>
      <c r="BL4" s="133">
        <f>+'Info recibida'!BM4/550</f>
        <v>6327502.9745378178</v>
      </c>
      <c r="BM4" s="133">
        <f>+'Info recibida'!BN4/550</f>
        <v>6441137.2054694081</v>
      </c>
      <c r="BN4" s="133">
        <f>+'Info recibida'!BO4/550</f>
        <v>6560000.1749591706</v>
      </c>
      <c r="BO4" s="133">
        <f>+'Info recibida'!BP4/550</f>
        <v>6684339.7307453677</v>
      </c>
      <c r="BP4" s="133">
        <f>+'Info recibida'!BQ4/550</f>
        <v>6814415.7052774737</v>
      </c>
      <c r="BQ4" s="133">
        <f>+'Info recibida'!BR4/550</f>
        <v>6950500.5027214857</v>
      </c>
      <c r="BR4" s="133">
        <f>+'Info recibida'!BS4/550</f>
        <v>7092879.7149485582</v>
      </c>
      <c r="BS4" s="133">
        <f>+'Info recibida'!BT4/550</f>
        <v>55452244.817495652</v>
      </c>
      <c r="BT4" s="126"/>
      <c r="BU4" s="126"/>
      <c r="BV4" s="126"/>
      <c r="BW4" s="139"/>
      <c r="BX4" s="136">
        <f>+'Info recibida'!BY4/550</f>
        <v>4001408.749090909</v>
      </c>
      <c r="BY4" s="133">
        <f>+'Info recibida'!BZ4/550</f>
        <v>9070509.3824727293</v>
      </c>
      <c r="BZ4" s="133">
        <f>+'Info recibida'!CA4/550</f>
        <v>9046728.3861287273</v>
      </c>
      <c r="CA4" s="133">
        <f>+'Info recibida'!CB4/550</f>
        <v>9305133.0096398611</v>
      </c>
      <c r="CB4" s="133">
        <f>+'Info recibida'!CC4/550</f>
        <v>9547063.0922708753</v>
      </c>
      <c r="CC4" s="133">
        <f>+'Info recibida'!CD4/550</f>
        <v>9820874.8819979113</v>
      </c>
      <c r="CD4" s="133">
        <f>+'Info recibida'!CE4/550</f>
        <v>10102941.838446522</v>
      </c>
      <c r="CE4" s="133">
        <f>+'Info recibida'!CF4/550</f>
        <v>10393655.475451659</v>
      </c>
      <c r="CF4" s="497">
        <f>+'Info recibida'!CG4/550</f>
        <v>10622517.154295905</v>
      </c>
      <c r="CG4" s="137">
        <f>SUM(BX4:CF4)</f>
        <v>81910831.969795093</v>
      </c>
      <c r="CH4" s="136">
        <f>+'Info recibida'!CH4/550</f>
        <v>1638801</v>
      </c>
      <c r="CI4" s="133">
        <f>+CI5+CI11+CI13+CI16+CI19+CI21+CI23</f>
        <v>2851648.3227272728</v>
      </c>
      <c r="CJ4" s="133">
        <f t="shared" ref="CJ4:CP4" si="0">+CJ5+CJ11+CJ13+CJ16+CJ19+CJ21+CJ23</f>
        <v>2719225.4115909091</v>
      </c>
      <c r="CK4" s="133">
        <f t="shared" si="0"/>
        <v>2863995.8041704544</v>
      </c>
      <c r="CL4" s="133">
        <f t="shared" si="0"/>
        <v>2987062.9173117047</v>
      </c>
      <c r="CM4" s="133">
        <f t="shared" si="0"/>
        <v>3136535.1512525445</v>
      </c>
      <c r="CN4" s="133">
        <f t="shared" si="0"/>
        <v>3288526.133169048</v>
      </c>
      <c r="CO4" s="133">
        <f t="shared" si="0"/>
        <v>3443154.9727301742</v>
      </c>
      <c r="CP4" s="133">
        <f t="shared" si="0"/>
        <v>3529637.4393473458</v>
      </c>
      <c r="CQ4" s="137">
        <f>+'Info recibida'!CQ4/550</f>
        <v>26458587.152299456</v>
      </c>
      <c r="CR4" s="138"/>
      <c r="CS4" s="140">
        <f>+CS5+CS11+CS13+CS16+CS19+CS21+CS23</f>
        <v>1259000</v>
      </c>
      <c r="CT4" s="126"/>
      <c r="CU4" s="126"/>
      <c r="CV4" s="126"/>
      <c r="CW4" s="126"/>
      <c r="CX4" s="126"/>
      <c r="CY4" s="141">
        <f>+'Info recibida'!CY4/550</f>
        <v>25055587.152299453</v>
      </c>
      <c r="CZ4" s="132"/>
      <c r="DA4" s="513">
        <f>SUM(DA6:DA24)</f>
        <v>0.99999999999999989</v>
      </c>
    </row>
    <row r="5" spans="2:105" s="103" customFormat="1" ht="26.1" customHeight="1" x14ac:dyDescent="0.25">
      <c r="B5" s="143" t="s">
        <v>509</v>
      </c>
      <c r="C5" s="144" t="s">
        <v>355</v>
      </c>
      <c r="D5" s="59" t="s">
        <v>488</v>
      </c>
      <c r="E5" s="145"/>
      <c r="F5" s="146"/>
      <c r="G5" s="146"/>
      <c r="H5" s="62"/>
      <c r="I5" s="62"/>
      <c r="J5" s="147" t="s">
        <v>254</v>
      </c>
      <c r="K5" s="148"/>
      <c r="L5" s="149"/>
      <c r="N5" s="143" t="s">
        <v>768</v>
      </c>
      <c r="O5" s="150"/>
      <c r="P5" s="145"/>
      <c r="Q5" s="145"/>
      <c r="R5" s="145"/>
      <c r="S5" s="145"/>
      <c r="T5" s="145"/>
      <c r="U5" s="145"/>
      <c r="V5" s="145"/>
      <c r="W5" s="145"/>
      <c r="X5" s="145"/>
      <c r="Y5" s="145"/>
      <c r="Z5" s="145"/>
      <c r="AA5" s="145"/>
      <c r="AB5" s="145"/>
      <c r="AC5" s="145"/>
      <c r="AD5" s="145"/>
      <c r="AE5" s="151"/>
      <c r="AF5" s="150"/>
      <c r="AG5" s="145"/>
      <c r="AH5" s="145"/>
      <c r="AI5" s="152"/>
      <c r="AJ5" s="152"/>
      <c r="AK5" s="152"/>
      <c r="AL5" s="152"/>
      <c r="AM5" s="152"/>
      <c r="AN5" s="152"/>
      <c r="AO5" s="152"/>
      <c r="AP5" s="152"/>
      <c r="AQ5" s="152"/>
      <c r="AR5" s="152"/>
      <c r="AS5" s="152"/>
      <c r="AT5" s="152"/>
      <c r="AU5" s="152"/>
      <c r="AV5" s="152"/>
      <c r="AW5" s="152"/>
      <c r="AX5" s="152"/>
      <c r="AY5" s="152"/>
      <c r="AZ5" s="152"/>
      <c r="BA5" s="152"/>
      <c r="BB5" s="152"/>
      <c r="BC5" s="152"/>
      <c r="BD5" s="145"/>
      <c r="BE5" s="151"/>
      <c r="BF5" s="153"/>
      <c r="BG5" s="154" t="s">
        <v>355</v>
      </c>
      <c r="BH5" s="155"/>
      <c r="BI5" s="487">
        <f>+'Info recibida'!BJ5/550</f>
        <v>0</v>
      </c>
      <c r="BJ5" s="152">
        <f>+'Info recibida'!BK5/550</f>
        <v>711617.47636363632</v>
      </c>
      <c r="BK5" s="152">
        <f>+'Info recibida'!BL5/550</f>
        <v>4483511.4552000007</v>
      </c>
      <c r="BL5" s="152">
        <f>+'Info recibida'!BM5/550</f>
        <v>4505500.4352196362</v>
      </c>
      <c r="BM5" s="152">
        <f>+'Info recibida'!BN5/550</f>
        <v>4528149.0846398622</v>
      </c>
      <c r="BN5" s="152">
        <f>+'Info recibida'!BO5/550</f>
        <v>4551477.1935426937</v>
      </c>
      <c r="BO5" s="152">
        <f>+'Info recibida'!BP5/550</f>
        <v>4575505.1457126113</v>
      </c>
      <c r="BP5" s="152">
        <f>+'Info recibida'!BQ5/550</f>
        <v>4600253.936447626</v>
      </c>
      <c r="BQ5" s="152">
        <f>+'Info recibida'!BR5/550</f>
        <v>4625745.1909046909</v>
      </c>
      <c r="BR5" s="152">
        <f>+'Info recibida'!BS5/550</f>
        <v>4652001.1829954684</v>
      </c>
      <c r="BS5" s="152">
        <f>+'Info recibida'!BT5/550</f>
        <v>37233761.101026222</v>
      </c>
      <c r="BT5" s="145"/>
      <c r="BU5" s="145"/>
      <c r="BV5" s="145"/>
      <c r="BW5" s="159"/>
      <c r="BX5" s="157">
        <f>+'Info recibida'!BY5/550</f>
        <v>882617.47636363632</v>
      </c>
      <c r="BY5" s="152">
        <f>+'Info recibida'!BZ5/550</f>
        <v>6085550.5461090915</v>
      </c>
      <c r="BZ5" s="152">
        <f>+'Info recibida'!CA5/550</f>
        <v>6117953.4261287274</v>
      </c>
      <c r="CA5" s="152">
        <f>+'Info recibida'!CB5/550</f>
        <v>6151328.3925489532</v>
      </c>
      <c r="CB5" s="152">
        <f>+'Info recibida'!CC5/550</f>
        <v>6185704.607961785</v>
      </c>
      <c r="CC5" s="152">
        <f>+'Info recibida'!CD5/550</f>
        <v>6221112.1098370021</v>
      </c>
      <c r="CD5" s="152">
        <f>+'Info recibida'!CE5/550</f>
        <v>6257581.8367684763</v>
      </c>
      <c r="CE5" s="152">
        <f>+'Info recibida'!CF5/550</f>
        <v>6295145.6555078942</v>
      </c>
      <c r="CF5" s="487">
        <f>+'Info recibida'!CG5/550</f>
        <v>6333836.3888094947</v>
      </c>
      <c r="CG5" s="156">
        <f>SUM(BX5:CF5)</f>
        <v>50530830.44003506</v>
      </c>
      <c r="CH5" s="157">
        <f>+'Info recibida'!CH5/550</f>
        <v>171000</v>
      </c>
      <c r="CI5" s="152">
        <f>+'Info recibida'!CI5/550</f>
        <v>1602039.0909090908</v>
      </c>
      <c r="CJ5" s="152">
        <f>+'Info recibida'!CJ5/550</f>
        <v>1612452.990909091</v>
      </c>
      <c r="CK5" s="152">
        <f>+'Info recibida'!CK5/550</f>
        <v>1623179.3079090908</v>
      </c>
      <c r="CL5" s="152">
        <f>+'Info recibida'!CL5/550</f>
        <v>1634227.4144190908</v>
      </c>
      <c r="CM5" s="152">
        <f>+'Info recibida'!CM5/550</f>
        <v>1645606.9641243909</v>
      </c>
      <c r="CN5" s="152">
        <f>+'Info recibida'!CN5/550</f>
        <v>1657327.9003208498</v>
      </c>
      <c r="CO5" s="152">
        <f>+'Info recibida'!CO5/550</f>
        <v>1669400.4646032027</v>
      </c>
      <c r="CP5" s="152">
        <f>+'Info recibida'!CP5/550</f>
        <v>1681835.2058140261</v>
      </c>
      <c r="CQ5" s="156">
        <f>+'Info recibida'!CQ5/550</f>
        <v>13297069.33900883</v>
      </c>
      <c r="CR5" s="158"/>
      <c r="CS5" s="160">
        <f>SUM(CS6:CS8)</f>
        <v>0</v>
      </c>
      <c r="CT5" s="145"/>
      <c r="CU5" s="145"/>
      <c r="CV5" s="145"/>
      <c r="CW5" s="145"/>
      <c r="CX5" s="145"/>
      <c r="CY5" s="161">
        <f>+'Info recibida'!CY5/550</f>
        <v>12955069.339008832</v>
      </c>
      <c r="CZ5" s="151"/>
    </row>
    <row r="6" spans="2:105" s="103" customFormat="1" ht="26.1" customHeight="1" x14ac:dyDescent="0.25">
      <c r="B6" s="163" t="s">
        <v>8</v>
      </c>
      <c r="C6" s="164" t="s">
        <v>355</v>
      </c>
      <c r="D6" s="74" t="s">
        <v>9</v>
      </c>
      <c r="E6" s="75" t="s">
        <v>402</v>
      </c>
      <c r="F6" s="75" t="s">
        <v>373</v>
      </c>
      <c r="G6" s="75" t="s">
        <v>101</v>
      </c>
      <c r="H6" s="79"/>
      <c r="I6" s="79" t="s">
        <v>230</v>
      </c>
      <c r="J6" s="165"/>
      <c r="K6" s="166"/>
      <c r="L6" s="167"/>
      <c r="N6" s="163" t="s">
        <v>374</v>
      </c>
      <c r="O6" s="74" t="s">
        <v>9</v>
      </c>
      <c r="P6" s="75" t="s">
        <v>402</v>
      </c>
      <c r="Q6" s="75" t="s">
        <v>314</v>
      </c>
      <c r="R6" s="75" t="s">
        <v>314</v>
      </c>
      <c r="S6" s="75" t="s">
        <v>314</v>
      </c>
      <c r="T6" s="75"/>
      <c r="U6" s="75" t="s">
        <v>314</v>
      </c>
      <c r="V6" s="75"/>
      <c r="W6" s="75" t="s">
        <v>314</v>
      </c>
      <c r="X6" s="75"/>
      <c r="Y6" s="75"/>
      <c r="Z6" s="75"/>
      <c r="AA6" s="75"/>
      <c r="AB6" s="75" t="s">
        <v>307</v>
      </c>
      <c r="AC6" s="75"/>
      <c r="AD6" s="75"/>
      <c r="AE6" s="168"/>
      <c r="AF6" s="74" t="s">
        <v>315</v>
      </c>
      <c r="AG6" s="169" t="s">
        <v>339</v>
      </c>
      <c r="AH6" s="68" t="s">
        <v>505</v>
      </c>
      <c r="AI6" s="170">
        <v>0</v>
      </c>
      <c r="AJ6" s="170">
        <f>(0*0.658)/471000</f>
        <v>0</v>
      </c>
      <c r="AK6" s="170">
        <f>(2062500000*0.658)/(471000)</f>
        <v>2881.3694267515925</v>
      </c>
      <c r="AL6" s="170">
        <f t="shared" ref="AL6:AR6" si="1">(2062500000*0.658)/(471000)</f>
        <v>2881.3694267515925</v>
      </c>
      <c r="AM6" s="170">
        <f t="shared" si="1"/>
        <v>2881.3694267515925</v>
      </c>
      <c r="AN6" s="170">
        <f t="shared" si="1"/>
        <v>2881.3694267515925</v>
      </c>
      <c r="AO6" s="170">
        <f t="shared" si="1"/>
        <v>2881.3694267515925</v>
      </c>
      <c r="AP6" s="170">
        <f t="shared" si="1"/>
        <v>2881.3694267515925</v>
      </c>
      <c r="AQ6" s="170">
        <f t="shared" si="1"/>
        <v>2881.3694267515925</v>
      </c>
      <c r="AR6" s="170">
        <f t="shared" si="1"/>
        <v>2881.3694267515925</v>
      </c>
      <c r="AS6" s="170"/>
      <c r="AT6" s="170"/>
      <c r="AU6" s="170">
        <v>0</v>
      </c>
      <c r="AV6" s="170">
        <f>+(2750000000*0.658)/(471000)</f>
        <v>3841.8259023354562</v>
      </c>
      <c r="AW6" s="170">
        <f t="shared" ref="AW6:BC6" si="2">+(2750000000*0.658)/(471000)</f>
        <v>3841.8259023354562</v>
      </c>
      <c r="AX6" s="170">
        <f t="shared" si="2"/>
        <v>3841.8259023354562</v>
      </c>
      <c r="AY6" s="170">
        <f t="shared" si="2"/>
        <v>3841.8259023354562</v>
      </c>
      <c r="AZ6" s="170">
        <f t="shared" si="2"/>
        <v>3841.8259023354562</v>
      </c>
      <c r="BA6" s="170">
        <f t="shared" si="2"/>
        <v>3841.8259023354562</v>
      </c>
      <c r="BB6" s="170">
        <f t="shared" si="2"/>
        <v>3841.8259023354562</v>
      </c>
      <c r="BC6" s="170">
        <f t="shared" si="2"/>
        <v>3841.8259023354562</v>
      </c>
      <c r="BD6" s="48"/>
      <c r="BE6" s="94"/>
      <c r="BF6" s="165"/>
      <c r="BG6" s="171" t="s">
        <v>312</v>
      </c>
      <c r="BH6" s="75" t="s">
        <v>313</v>
      </c>
      <c r="BI6" s="488">
        <f>+'Info recibida'!BJ6/550</f>
        <v>0</v>
      </c>
      <c r="BJ6" s="174">
        <f>+'Info recibida'!BK6/550</f>
        <v>0</v>
      </c>
      <c r="BK6" s="174">
        <f>+'Info recibida'!BL6/550</f>
        <v>3750000</v>
      </c>
      <c r="BL6" s="174">
        <f>+'Info recibida'!BM6/550</f>
        <v>3750000</v>
      </c>
      <c r="BM6" s="174">
        <f>+'Info recibida'!BN6/550</f>
        <v>3750000</v>
      </c>
      <c r="BN6" s="174">
        <f>+'Info recibida'!BO6/550</f>
        <v>3750000</v>
      </c>
      <c r="BO6" s="174">
        <f>+'Info recibida'!BP6/550</f>
        <v>3750000</v>
      </c>
      <c r="BP6" s="174">
        <f>+'Info recibida'!BQ6/550</f>
        <v>3750000</v>
      </c>
      <c r="BQ6" s="174">
        <f>+'Info recibida'!BR6/550</f>
        <v>3750000</v>
      </c>
      <c r="BR6" s="174">
        <f>+'Info recibida'!BS6/550</f>
        <v>3750000</v>
      </c>
      <c r="BS6" s="174">
        <f>+'Info recibida'!BT6/550</f>
        <v>30000000</v>
      </c>
      <c r="BT6" s="75"/>
      <c r="BU6" s="75"/>
      <c r="BV6" s="177">
        <v>1</v>
      </c>
      <c r="BW6" s="178" t="s">
        <v>383</v>
      </c>
      <c r="BX6" s="173">
        <f>+'Info recibida'!BY6/550</f>
        <v>0</v>
      </c>
      <c r="BY6" s="174">
        <f>+'Info recibida'!BZ6/550</f>
        <v>5000000</v>
      </c>
      <c r="BZ6" s="174">
        <f>+'Info recibida'!CA6/550</f>
        <v>5000000</v>
      </c>
      <c r="CA6" s="174">
        <f>+'Info recibida'!CB6/550</f>
        <v>5000000</v>
      </c>
      <c r="CB6" s="174">
        <f>+'Info recibida'!CC6/550</f>
        <v>5000000</v>
      </c>
      <c r="CC6" s="174">
        <f>+'Info recibida'!CD6/550</f>
        <v>5000000</v>
      </c>
      <c r="CD6" s="174">
        <f>+'Info recibida'!CE6/550</f>
        <v>5000000</v>
      </c>
      <c r="CE6" s="174">
        <f>+'Info recibida'!CF6/550</f>
        <v>5000000</v>
      </c>
      <c r="CF6" s="498">
        <f>+'Info recibida'!CG6/550</f>
        <v>5000000</v>
      </c>
      <c r="CG6" s="175">
        <f>SUM(BX6:CF6)</f>
        <v>40000000</v>
      </c>
      <c r="CH6" s="173">
        <f>+'Info recibida'!CH6/550</f>
        <v>0</v>
      </c>
      <c r="CI6" s="174">
        <f>+'Info recibida'!CI6/550</f>
        <v>1250000</v>
      </c>
      <c r="CJ6" s="174">
        <f>+'Info recibida'!CJ6/550</f>
        <v>1250000</v>
      </c>
      <c r="CK6" s="174">
        <f>+'Info recibida'!CK6/550</f>
        <v>1250000</v>
      </c>
      <c r="CL6" s="174">
        <f>+'Info recibida'!CL6/550</f>
        <v>1250000</v>
      </c>
      <c r="CM6" s="174">
        <f>+'Info recibida'!CM6/550</f>
        <v>1250000</v>
      </c>
      <c r="CN6" s="174">
        <f>+'Info recibida'!CN6/550</f>
        <v>1250000</v>
      </c>
      <c r="CO6" s="174">
        <f>+'Info recibida'!CO6/550</f>
        <v>1250000</v>
      </c>
      <c r="CP6" s="174">
        <f>+'Info recibida'!CP6/550</f>
        <v>1250000</v>
      </c>
      <c r="CQ6" s="175">
        <f>+'Info recibida'!CQ6/550</f>
        <v>10000000</v>
      </c>
      <c r="CR6" s="84"/>
      <c r="CS6" s="85"/>
      <c r="CT6" s="85"/>
      <c r="CU6" s="169"/>
      <c r="CV6" s="169"/>
      <c r="CW6" s="169"/>
      <c r="CX6" s="169"/>
      <c r="CY6" s="181">
        <f>+'Info recibida'!CY6/550</f>
        <v>10000000</v>
      </c>
      <c r="CZ6" s="182" t="s">
        <v>375</v>
      </c>
      <c r="DA6" s="512">
        <f>+CQ6/CQ$4</f>
        <v>0.37794913017987519</v>
      </c>
    </row>
    <row r="7" spans="2:105" s="103" customFormat="1" ht="26.1" customHeight="1" x14ac:dyDescent="0.25">
      <c r="B7" s="184"/>
      <c r="C7" s="185"/>
      <c r="D7" s="80"/>
      <c r="E7" s="81"/>
      <c r="F7" s="81"/>
      <c r="G7" s="81"/>
      <c r="H7" s="82"/>
      <c r="I7" s="82"/>
      <c r="J7" s="186"/>
      <c r="K7" s="187"/>
      <c r="L7" s="188"/>
      <c r="N7" s="184"/>
      <c r="O7" s="80"/>
      <c r="P7" s="81"/>
      <c r="Q7" s="81"/>
      <c r="R7" s="81"/>
      <c r="S7" s="81"/>
      <c r="T7" s="81"/>
      <c r="U7" s="81"/>
      <c r="V7" s="81"/>
      <c r="W7" s="81"/>
      <c r="X7" s="81"/>
      <c r="Y7" s="81"/>
      <c r="Z7" s="81"/>
      <c r="AA7" s="81"/>
      <c r="AB7" s="81"/>
      <c r="AC7" s="81"/>
      <c r="AD7" s="81"/>
      <c r="AE7" s="189"/>
      <c r="AF7" s="80"/>
      <c r="AG7" s="190"/>
      <c r="AH7" s="68" t="s">
        <v>506</v>
      </c>
      <c r="AI7" s="170"/>
      <c r="AJ7" s="170">
        <f>(0*0.342)/247118</f>
        <v>0</v>
      </c>
      <c r="AK7" s="170">
        <f>(2062500000*0.342)/(247118)</f>
        <v>2854.4055876140142</v>
      </c>
      <c r="AL7" s="170">
        <f t="shared" ref="AL7:AR7" si="3">(2062500000*0.342)/(247118)</f>
        <v>2854.4055876140142</v>
      </c>
      <c r="AM7" s="170">
        <f t="shared" si="3"/>
        <v>2854.4055876140142</v>
      </c>
      <c r="AN7" s="170">
        <f t="shared" si="3"/>
        <v>2854.4055876140142</v>
      </c>
      <c r="AO7" s="170">
        <f t="shared" si="3"/>
        <v>2854.4055876140142</v>
      </c>
      <c r="AP7" s="170">
        <f t="shared" si="3"/>
        <v>2854.4055876140142</v>
      </c>
      <c r="AQ7" s="170">
        <f t="shared" si="3"/>
        <v>2854.4055876140142</v>
      </c>
      <c r="AR7" s="170">
        <f t="shared" si="3"/>
        <v>2854.4055876140142</v>
      </c>
      <c r="AS7" s="170"/>
      <c r="AT7" s="170"/>
      <c r="AU7" s="170">
        <f>(0*0.342)/247118</f>
        <v>0</v>
      </c>
      <c r="AV7" s="170">
        <f>(2750000000*0.342)/(247118)</f>
        <v>3805.8741168186862</v>
      </c>
      <c r="AW7" s="170">
        <f t="shared" ref="AW7:BC7" si="4">(2750000000*0.342)/(247118)</f>
        <v>3805.8741168186862</v>
      </c>
      <c r="AX7" s="170">
        <f t="shared" si="4"/>
        <v>3805.8741168186862</v>
      </c>
      <c r="AY7" s="170">
        <f t="shared" si="4"/>
        <v>3805.8741168186862</v>
      </c>
      <c r="AZ7" s="170">
        <f t="shared" si="4"/>
        <v>3805.8741168186862</v>
      </c>
      <c r="BA7" s="170">
        <f t="shared" si="4"/>
        <v>3805.8741168186862</v>
      </c>
      <c r="BB7" s="170">
        <f t="shared" si="4"/>
        <v>3805.8741168186862</v>
      </c>
      <c r="BC7" s="170">
        <f t="shared" si="4"/>
        <v>3805.8741168186862</v>
      </c>
      <c r="BD7" s="48"/>
      <c r="BE7" s="94"/>
      <c r="BF7" s="186"/>
      <c r="BG7" s="191"/>
      <c r="BH7" s="81"/>
      <c r="BI7" s="489">
        <f>+'Info recibida'!BJ7/550</f>
        <v>0</v>
      </c>
      <c r="BJ7" s="194">
        <f>+'Info recibida'!BK7/550</f>
        <v>0</v>
      </c>
      <c r="BK7" s="194">
        <f>+'Info recibida'!BL7/550</f>
        <v>0</v>
      </c>
      <c r="BL7" s="194">
        <f>+'Info recibida'!BM7/550</f>
        <v>0</v>
      </c>
      <c r="BM7" s="194">
        <f>+'Info recibida'!BN7/550</f>
        <v>0</v>
      </c>
      <c r="BN7" s="194">
        <f>+'Info recibida'!BO7/550</f>
        <v>0</v>
      </c>
      <c r="BO7" s="194">
        <f>+'Info recibida'!BP7/550</f>
        <v>0</v>
      </c>
      <c r="BP7" s="194">
        <f>+'Info recibida'!BQ7/550</f>
        <v>0</v>
      </c>
      <c r="BQ7" s="194">
        <f>+'Info recibida'!BR7/550</f>
        <v>0</v>
      </c>
      <c r="BR7" s="194">
        <f>+'Info recibida'!BS7/550</f>
        <v>0</v>
      </c>
      <c r="BS7" s="194">
        <f>+'Info recibida'!BT7/550</f>
        <v>0</v>
      </c>
      <c r="BT7" s="81"/>
      <c r="BU7" s="81"/>
      <c r="BV7" s="197"/>
      <c r="BW7" s="198"/>
      <c r="BX7" s="193">
        <f>+'Info recibida'!BY7/550</f>
        <v>0</v>
      </c>
      <c r="BY7" s="194">
        <f>+'Info recibida'!BZ7/550</f>
        <v>0</v>
      </c>
      <c r="BZ7" s="194">
        <f>+'Info recibida'!CA7/550</f>
        <v>0</v>
      </c>
      <c r="CA7" s="194">
        <f>+'Info recibida'!CB7/550</f>
        <v>0</v>
      </c>
      <c r="CB7" s="194">
        <f>+'Info recibida'!CC7/550</f>
        <v>0</v>
      </c>
      <c r="CC7" s="194">
        <f>+'Info recibida'!CD7/550</f>
        <v>0</v>
      </c>
      <c r="CD7" s="194">
        <f>+'Info recibida'!CE7/550</f>
        <v>0</v>
      </c>
      <c r="CE7" s="194">
        <f>+'Info recibida'!CF7/550</f>
        <v>0</v>
      </c>
      <c r="CF7" s="499">
        <f>+'Info recibida'!CG7/550</f>
        <v>0</v>
      </c>
      <c r="CG7" s="195"/>
      <c r="CH7" s="193">
        <f>+'Info recibida'!CH7/550</f>
        <v>0</v>
      </c>
      <c r="CI7" s="194">
        <f>+'Info recibida'!CI7/550</f>
        <v>0</v>
      </c>
      <c r="CJ7" s="194">
        <f>+'Info recibida'!CJ7/550</f>
        <v>0</v>
      </c>
      <c r="CK7" s="194">
        <f>+'Info recibida'!CK7/550</f>
        <v>0</v>
      </c>
      <c r="CL7" s="194">
        <f>+'Info recibida'!CL7/550</f>
        <v>0</v>
      </c>
      <c r="CM7" s="194">
        <f>+'Info recibida'!CM7/550</f>
        <v>0</v>
      </c>
      <c r="CN7" s="194">
        <f>+'Info recibida'!CN7/550</f>
        <v>0</v>
      </c>
      <c r="CO7" s="194">
        <f>+'Info recibida'!CO7/550</f>
        <v>0</v>
      </c>
      <c r="CP7" s="194">
        <f>+'Info recibida'!CP7/550</f>
        <v>0</v>
      </c>
      <c r="CQ7" s="195">
        <f>+'Info recibida'!CQ7/550</f>
        <v>0</v>
      </c>
      <c r="CR7" s="86"/>
      <c r="CS7" s="87"/>
      <c r="CT7" s="87"/>
      <c r="CU7" s="190"/>
      <c r="CV7" s="190"/>
      <c r="CW7" s="190"/>
      <c r="CX7" s="190"/>
      <c r="CY7" s="201">
        <f>+'Info recibida'!CY7/550</f>
        <v>0</v>
      </c>
      <c r="CZ7" s="202"/>
      <c r="DA7" s="512">
        <f t="shared" ref="DA7:DA24" si="5">+CQ7/CQ$4</f>
        <v>0</v>
      </c>
    </row>
    <row r="8" spans="2:105" s="103" customFormat="1" ht="26.1" customHeight="1" x14ac:dyDescent="0.25">
      <c r="B8" s="204" t="s">
        <v>10</v>
      </c>
      <c r="C8" s="205" t="s">
        <v>356</v>
      </c>
      <c r="D8" s="47" t="s">
        <v>4</v>
      </c>
      <c r="E8" s="48" t="s">
        <v>462</v>
      </c>
      <c r="F8" s="48" t="s">
        <v>397</v>
      </c>
      <c r="G8" s="48" t="s">
        <v>102</v>
      </c>
      <c r="H8" s="49"/>
      <c r="I8" s="49" t="s">
        <v>230</v>
      </c>
      <c r="J8" s="206"/>
      <c r="K8" s="207"/>
      <c r="L8" s="208"/>
      <c r="N8" s="204" t="s">
        <v>10</v>
      </c>
      <c r="O8" s="47" t="s">
        <v>4</v>
      </c>
      <c r="P8" s="48" t="s">
        <v>434</v>
      </c>
      <c r="Q8" s="48"/>
      <c r="R8" s="48" t="s">
        <v>314</v>
      </c>
      <c r="S8" s="48" t="s">
        <v>314</v>
      </c>
      <c r="T8" s="48"/>
      <c r="U8" s="48" t="s">
        <v>314</v>
      </c>
      <c r="V8" s="48"/>
      <c r="W8" s="48" t="s">
        <v>307</v>
      </c>
      <c r="X8" s="48"/>
      <c r="Y8" s="48"/>
      <c r="Z8" s="48"/>
      <c r="AA8" s="48"/>
      <c r="AB8" s="48" t="s">
        <v>314</v>
      </c>
      <c r="AC8" s="48"/>
      <c r="AD8" s="48"/>
      <c r="AE8" s="209"/>
      <c r="AF8" s="47" t="s">
        <v>315</v>
      </c>
      <c r="AG8" s="210" t="s">
        <v>339</v>
      </c>
      <c r="AH8" s="101" t="s">
        <v>435</v>
      </c>
      <c r="AI8" s="170"/>
      <c r="AJ8" s="170"/>
      <c r="AK8" s="170">
        <v>1</v>
      </c>
      <c r="AL8" s="170">
        <v>1</v>
      </c>
      <c r="AM8" s="170">
        <v>1</v>
      </c>
      <c r="AN8" s="170">
        <v>1</v>
      </c>
      <c r="AO8" s="170">
        <v>1</v>
      </c>
      <c r="AP8" s="170">
        <v>1</v>
      </c>
      <c r="AQ8" s="170">
        <v>1</v>
      </c>
      <c r="AR8" s="170">
        <v>1</v>
      </c>
      <c r="AS8" s="170"/>
      <c r="AT8" s="170"/>
      <c r="AU8" s="170"/>
      <c r="AV8" s="170">
        <v>10</v>
      </c>
      <c r="AW8" s="170">
        <v>10</v>
      </c>
      <c r="AX8" s="170">
        <v>10</v>
      </c>
      <c r="AY8" s="170">
        <v>10</v>
      </c>
      <c r="AZ8" s="170">
        <v>10</v>
      </c>
      <c r="BA8" s="170">
        <v>10</v>
      </c>
      <c r="BB8" s="170">
        <v>10</v>
      </c>
      <c r="BC8" s="170">
        <v>10</v>
      </c>
      <c r="BD8" s="48"/>
      <c r="BE8" s="48"/>
      <c r="BF8" s="206"/>
      <c r="BG8" s="68" t="s">
        <v>312</v>
      </c>
      <c r="BH8" s="48" t="s">
        <v>313</v>
      </c>
      <c r="BI8" s="211">
        <f>+'Info recibida'!BJ8/550</f>
        <v>0</v>
      </c>
      <c r="BJ8" s="170">
        <f>+'Info recibida'!BK8/550</f>
        <v>0</v>
      </c>
      <c r="BK8" s="170">
        <f>+'Info recibida'!BL8/550</f>
        <v>545.4545454545455</v>
      </c>
      <c r="BL8" s="170">
        <f>+'Info recibida'!BM8/550</f>
        <v>545.4545454545455</v>
      </c>
      <c r="BM8" s="170">
        <f>+'Info recibida'!BN8/550</f>
        <v>545.4545454545455</v>
      </c>
      <c r="BN8" s="170">
        <f>+'Info recibida'!BO8/550</f>
        <v>545.4545454545455</v>
      </c>
      <c r="BO8" s="170">
        <f>+'Info recibida'!BP8/550</f>
        <v>545.4545454545455</v>
      </c>
      <c r="BP8" s="170">
        <f>+'Info recibida'!BQ8/550</f>
        <v>545.4545454545455</v>
      </c>
      <c r="BQ8" s="170">
        <f>+'Info recibida'!BR8/550</f>
        <v>545.4545454545455</v>
      </c>
      <c r="BR8" s="170">
        <f>+'Info recibida'!BS8/550</f>
        <v>545.4545454545455</v>
      </c>
      <c r="BS8" s="170">
        <f>+'Info recibida'!BT8/550</f>
        <v>4363.636363636364</v>
      </c>
      <c r="BT8" s="48"/>
      <c r="BU8" s="48"/>
      <c r="BV8" s="215">
        <v>1</v>
      </c>
      <c r="BW8" s="243" t="s">
        <v>436</v>
      </c>
      <c r="BX8" s="212">
        <f>+'Info recibida'!BY8/550</f>
        <v>0</v>
      </c>
      <c r="BY8" s="170">
        <f>+'Info recibida'!BZ8/550</f>
        <v>5454.545454545455</v>
      </c>
      <c r="BZ8" s="170">
        <f>+'Info recibida'!CA8/550</f>
        <v>5454.545454545455</v>
      </c>
      <c r="CA8" s="170">
        <f>+'Info recibida'!CB8/550</f>
        <v>5454.545454545455</v>
      </c>
      <c r="CB8" s="170">
        <f>+'Info recibida'!CC8/550</f>
        <v>5454.545454545455</v>
      </c>
      <c r="CC8" s="170">
        <f>+'Info recibida'!CD8/550</f>
        <v>5454.545454545455</v>
      </c>
      <c r="CD8" s="170">
        <f>+'Info recibida'!CE8/550</f>
        <v>5454.545454545455</v>
      </c>
      <c r="CE8" s="170">
        <f>+'Info recibida'!CF8/550</f>
        <v>5454.545454545455</v>
      </c>
      <c r="CF8" s="218">
        <f>+'Info recibida'!CG8/550</f>
        <v>5454.545454545455</v>
      </c>
      <c r="CG8" s="213">
        <f>SUM(BX8:CF8)</f>
        <v>43636.36363636364</v>
      </c>
      <c r="CH8" s="217">
        <f>+'Info recibida'!CH8/550</f>
        <v>0</v>
      </c>
      <c r="CI8" s="170">
        <f>+'Info recibida'!CI8/550</f>
        <v>4909.090909090909</v>
      </c>
      <c r="CJ8" s="170">
        <f>+'Info recibida'!CJ8/550</f>
        <v>4909.090909090909</v>
      </c>
      <c r="CK8" s="170">
        <f>+'Info recibida'!CK8/550</f>
        <v>4909.090909090909</v>
      </c>
      <c r="CL8" s="170">
        <f>+'Info recibida'!CL8/550</f>
        <v>4909.090909090909</v>
      </c>
      <c r="CM8" s="170">
        <f>+'Info recibida'!CM8/550</f>
        <v>4909.090909090909</v>
      </c>
      <c r="CN8" s="170">
        <f>+'Info recibida'!CN8/550</f>
        <v>4909.090909090909</v>
      </c>
      <c r="CO8" s="170">
        <f>+'Info recibida'!CO8/550</f>
        <v>4909.090909090909</v>
      </c>
      <c r="CP8" s="170">
        <f>+'Info recibida'!CP8/550</f>
        <v>4909.090909090909</v>
      </c>
      <c r="CQ8" s="213">
        <f>+'Info recibida'!CQ8/550</f>
        <v>39272.727272727272</v>
      </c>
      <c r="CR8" s="70"/>
      <c r="CS8" s="71"/>
      <c r="CT8" s="71"/>
      <c r="CU8" s="210"/>
      <c r="CV8" s="210"/>
      <c r="CW8" s="210"/>
      <c r="CX8" s="210"/>
      <c r="CY8" s="221">
        <f>+'Info recibida'!CY8/550</f>
        <v>39272.727272727272</v>
      </c>
      <c r="CZ8" s="222"/>
      <c r="DA8" s="512">
        <f t="shared" si="5"/>
        <v>1.4843093112518733E-3</v>
      </c>
    </row>
    <row r="9" spans="2:105" s="103" customFormat="1" ht="26.1" customHeight="1" x14ac:dyDescent="0.25">
      <c r="B9" s="224" t="s">
        <v>37</v>
      </c>
      <c r="C9" s="225" t="s">
        <v>355</v>
      </c>
      <c r="D9" s="74" t="s">
        <v>3</v>
      </c>
      <c r="E9" s="75" t="s">
        <v>412</v>
      </c>
      <c r="F9" s="75" t="s">
        <v>396</v>
      </c>
      <c r="G9" s="75" t="s">
        <v>111</v>
      </c>
      <c r="H9" s="79" t="s">
        <v>245</v>
      </c>
      <c r="I9" s="79" t="s">
        <v>233</v>
      </c>
      <c r="J9" s="165"/>
      <c r="K9" s="166"/>
      <c r="L9" s="167"/>
      <c r="M9" s="102"/>
      <c r="N9" s="224" t="s">
        <v>37</v>
      </c>
      <c r="O9" s="74" t="s">
        <v>3</v>
      </c>
      <c r="P9" s="75" t="s">
        <v>412</v>
      </c>
      <c r="Q9" s="75" t="s">
        <v>314</v>
      </c>
      <c r="R9" s="75" t="s">
        <v>314</v>
      </c>
      <c r="S9" s="75" t="s">
        <v>314</v>
      </c>
      <c r="T9" s="75" t="s">
        <v>307</v>
      </c>
      <c r="U9" s="75"/>
      <c r="V9" s="75"/>
      <c r="W9" s="75" t="s">
        <v>314</v>
      </c>
      <c r="X9" s="75"/>
      <c r="Y9" s="75"/>
      <c r="Z9" s="75"/>
      <c r="AA9" s="75"/>
      <c r="AB9" s="75"/>
      <c r="AC9" s="75"/>
      <c r="AD9" s="75"/>
      <c r="AE9" s="168"/>
      <c r="AF9" s="74" t="s">
        <v>315</v>
      </c>
      <c r="AG9" s="169" t="s">
        <v>319</v>
      </c>
      <c r="AH9" s="267" t="s">
        <v>336</v>
      </c>
      <c r="AI9" s="170"/>
      <c r="AJ9" s="170">
        <v>1000000000</v>
      </c>
      <c r="AK9" s="170">
        <v>1000000000</v>
      </c>
      <c r="AL9" s="170">
        <v>1758333333</v>
      </c>
      <c r="AM9" s="170">
        <v>2370833333</v>
      </c>
      <c r="AN9" s="170">
        <v>3041666667</v>
      </c>
      <c r="AO9" s="170">
        <v>3245833333</v>
      </c>
      <c r="AP9" s="170">
        <v>3333333333</v>
      </c>
      <c r="AQ9" s="170">
        <v>1816666667</v>
      </c>
      <c r="AR9" s="170">
        <v>1350000000</v>
      </c>
      <c r="AS9" s="170"/>
      <c r="AT9" s="170"/>
      <c r="AU9" s="170">
        <f>+AJ9</f>
        <v>1000000000</v>
      </c>
      <c r="AV9" s="170">
        <f>+AL9+1000000000</f>
        <v>2758333333</v>
      </c>
      <c r="AW9" s="170">
        <f>+AM9+1000000</f>
        <v>2371833333</v>
      </c>
      <c r="AX9" s="170">
        <f>+AM9+1000000</f>
        <v>2371833333</v>
      </c>
      <c r="AY9" s="170">
        <f>+AN9+1000000</f>
        <v>3042666667</v>
      </c>
      <c r="AZ9" s="170">
        <f>+AO9+1000000</f>
        <v>3246833333</v>
      </c>
      <c r="BA9" s="170">
        <f>+AP9+1000000</f>
        <v>3334333333</v>
      </c>
      <c r="BB9" s="170">
        <f>+AQ9</f>
        <v>1816666667</v>
      </c>
      <c r="BC9" s="170">
        <f>+AR9</f>
        <v>1350000000</v>
      </c>
      <c r="BD9" s="48"/>
      <c r="BE9" s="94"/>
      <c r="BF9" s="165" t="s">
        <v>334</v>
      </c>
      <c r="BG9" s="171" t="s">
        <v>312</v>
      </c>
      <c r="BH9" s="75" t="s">
        <v>323</v>
      </c>
      <c r="BI9" s="490">
        <f>+'Info recibida'!BJ9/550</f>
        <v>488757.58545454545</v>
      </c>
      <c r="BJ9" s="505">
        <f>+'Info recibida'!BK9/550</f>
        <v>711617.47636363632</v>
      </c>
      <c r="BK9" s="174">
        <f>+'Info recibida'!BL9/550</f>
        <v>732966.0006545455</v>
      </c>
      <c r="BL9" s="174">
        <f>+'Info recibida'!BM9/550</f>
        <v>754954.98067418183</v>
      </c>
      <c r="BM9" s="174">
        <f>+'Info recibida'!BN9/550</f>
        <v>777603.63009440736</v>
      </c>
      <c r="BN9" s="174">
        <f>+'Info recibida'!BO9/550</f>
        <v>800931.73899723962</v>
      </c>
      <c r="BO9" s="174">
        <f>+'Info recibida'!BP9/550</f>
        <v>824959.69116715679</v>
      </c>
      <c r="BP9" s="174">
        <f>+'Info recibida'!BQ9/550</f>
        <v>849708.48190217151</v>
      </c>
      <c r="BQ9" s="174">
        <f>+'Info recibida'!BR9/550</f>
        <v>875199.73635923665</v>
      </c>
      <c r="BR9" s="174">
        <f>+'Info recibida'!BS9/550</f>
        <v>901455.72845001379</v>
      </c>
      <c r="BS9" s="174">
        <f>+'Info recibida'!BT9/550</f>
        <v>7229397.4646625891</v>
      </c>
      <c r="BT9" s="177">
        <v>1</v>
      </c>
      <c r="BU9" s="75"/>
      <c r="BV9" s="228"/>
      <c r="BW9" s="178"/>
      <c r="BX9" s="229">
        <f>+'Info recibida'!BY9/550</f>
        <v>882617.47636363632</v>
      </c>
      <c r="BY9" s="230">
        <f>+'Info recibida'!BZ9/550</f>
        <v>1080096.0006545454</v>
      </c>
      <c r="BZ9" s="230">
        <f>+'Info recibida'!CA9/550</f>
        <v>1112498.8806741817</v>
      </c>
      <c r="CA9" s="230">
        <f>+'Info recibida'!CB9/550</f>
        <v>1145873.8470944073</v>
      </c>
      <c r="CB9" s="230">
        <f>+'Info recibida'!CC9/550</f>
        <v>1180250.0625072394</v>
      </c>
      <c r="CC9" s="230">
        <f>+'Info recibida'!CD9/550</f>
        <v>1215657.5643824567</v>
      </c>
      <c r="CD9" s="230">
        <f>+'Info recibida'!CE9/550</f>
        <v>1252127.2913139304</v>
      </c>
      <c r="CE9" s="230">
        <f>+'Info recibida'!CF9/550</f>
        <v>1289691.1100533484</v>
      </c>
      <c r="CF9" s="500">
        <f>+'Info recibida'!CG9/550</f>
        <v>1328381.8433549488</v>
      </c>
      <c r="CG9" s="175">
        <f>SUM(BX9:CF9)</f>
        <v>10487194.076398693</v>
      </c>
      <c r="CH9" s="173">
        <f>+'Info recibida'!CH9/550</f>
        <v>171000</v>
      </c>
      <c r="CI9" s="174">
        <f>+'Info recibida'!CI9/550</f>
        <v>347130</v>
      </c>
      <c r="CJ9" s="174">
        <f>+'Info recibida'!CJ9/550</f>
        <v>357543.9</v>
      </c>
      <c r="CK9" s="174">
        <f>+'Info recibida'!CK9/550</f>
        <v>368270.21699999995</v>
      </c>
      <c r="CL9" s="174">
        <f>+'Info recibida'!CL9/550</f>
        <v>379318.32350999984</v>
      </c>
      <c r="CM9" s="174">
        <f>+'Info recibida'!CM9/550</f>
        <v>390697.87321529986</v>
      </c>
      <c r="CN9" s="174">
        <f>+'Info recibida'!CN9/550</f>
        <v>402418.80941175896</v>
      </c>
      <c r="CO9" s="174">
        <f>+'Info recibida'!CO9/550</f>
        <v>414491.37369411165</v>
      </c>
      <c r="CP9" s="174">
        <f>+'Info recibida'!CP9/550</f>
        <v>426926.11490493501</v>
      </c>
      <c r="CQ9" s="175">
        <f>+'Info recibida'!CQ9/550</f>
        <v>3257796.6117361053</v>
      </c>
      <c r="CR9" s="84"/>
      <c r="CS9" s="180">
        <v>342000</v>
      </c>
      <c r="CT9" s="85" t="s">
        <v>337</v>
      </c>
      <c r="CU9" s="169"/>
      <c r="CV9" s="169"/>
      <c r="CW9" s="169"/>
      <c r="CX9" s="169"/>
      <c r="CY9" s="181">
        <f>+'Info recibida'!CY9/550</f>
        <v>2915796.6117361053</v>
      </c>
      <c r="CZ9" s="182"/>
      <c r="DA9" s="512">
        <f t="shared" si="5"/>
        <v>0.12312813957086055</v>
      </c>
    </row>
    <row r="10" spans="2:105" s="103" customFormat="1" ht="26.1" customHeight="1" x14ac:dyDescent="0.25">
      <c r="B10" s="233"/>
      <c r="C10" s="234"/>
      <c r="D10" s="80"/>
      <c r="E10" s="81"/>
      <c r="F10" s="81"/>
      <c r="G10" s="81"/>
      <c r="H10" s="82"/>
      <c r="I10" s="82"/>
      <c r="J10" s="186"/>
      <c r="K10" s="187"/>
      <c r="L10" s="188"/>
      <c r="M10" s="102"/>
      <c r="N10" s="233"/>
      <c r="O10" s="80"/>
      <c r="P10" s="81"/>
      <c r="Q10" s="81"/>
      <c r="R10" s="81"/>
      <c r="S10" s="81"/>
      <c r="T10" s="81"/>
      <c r="U10" s="81"/>
      <c r="V10" s="81"/>
      <c r="W10" s="81"/>
      <c r="X10" s="81"/>
      <c r="Y10" s="81"/>
      <c r="Z10" s="81"/>
      <c r="AA10" s="81"/>
      <c r="AB10" s="81"/>
      <c r="AC10" s="81"/>
      <c r="AD10" s="81"/>
      <c r="AE10" s="189"/>
      <c r="AF10" s="80"/>
      <c r="AG10" s="190"/>
      <c r="AH10" s="267" t="s">
        <v>338</v>
      </c>
      <c r="AI10" s="170"/>
      <c r="AJ10" s="170">
        <v>0</v>
      </c>
      <c r="AK10" s="170">
        <v>1</v>
      </c>
      <c r="AL10" s="170">
        <v>1</v>
      </c>
      <c r="AM10" s="170">
        <v>0</v>
      </c>
      <c r="AN10" s="170">
        <v>0</v>
      </c>
      <c r="AO10" s="170">
        <v>0</v>
      </c>
      <c r="AP10" s="170">
        <v>0</v>
      </c>
      <c r="AQ10" s="170">
        <v>0</v>
      </c>
      <c r="AR10" s="170">
        <v>0</v>
      </c>
      <c r="AS10" s="170"/>
      <c r="AT10" s="170"/>
      <c r="AU10" s="170">
        <v>0</v>
      </c>
      <c r="AV10" s="170">
        <v>1</v>
      </c>
      <c r="AW10" s="170">
        <v>1</v>
      </c>
      <c r="AX10" s="170">
        <v>1</v>
      </c>
      <c r="AY10" s="170">
        <v>1</v>
      </c>
      <c r="AZ10" s="170">
        <v>0</v>
      </c>
      <c r="BA10" s="170">
        <v>0</v>
      </c>
      <c r="BB10" s="170">
        <v>0</v>
      </c>
      <c r="BC10" s="170">
        <v>0</v>
      </c>
      <c r="BD10" s="48"/>
      <c r="BE10" s="94"/>
      <c r="BF10" s="186"/>
      <c r="BG10" s="235"/>
      <c r="BH10" s="81"/>
      <c r="BI10" s="489">
        <f>+'Info recibida'!BJ10/550</f>
        <v>0</v>
      </c>
      <c r="BJ10" s="194">
        <f>+'Info recibida'!BK10/550</f>
        <v>0</v>
      </c>
      <c r="BK10" s="194">
        <f>+'Info recibida'!BL10/550</f>
        <v>0</v>
      </c>
      <c r="BL10" s="194">
        <f>+'Info recibida'!BM10/550</f>
        <v>0</v>
      </c>
      <c r="BM10" s="194">
        <f>+'Info recibida'!BN10/550</f>
        <v>0</v>
      </c>
      <c r="BN10" s="194">
        <f>+'Info recibida'!BO10/550</f>
        <v>0</v>
      </c>
      <c r="BO10" s="194">
        <f>+'Info recibida'!BP10/550</f>
        <v>0</v>
      </c>
      <c r="BP10" s="194">
        <f>+'Info recibida'!BQ10/550</f>
        <v>0</v>
      </c>
      <c r="BQ10" s="194">
        <f>+'Info recibida'!BR10/550</f>
        <v>0</v>
      </c>
      <c r="BR10" s="194">
        <f>+'Info recibida'!BS10/550</f>
        <v>0</v>
      </c>
      <c r="BS10" s="194">
        <f>+'Info recibida'!BT10/550</f>
        <v>0</v>
      </c>
      <c r="BT10" s="81"/>
      <c r="BU10" s="81"/>
      <c r="BV10" s="81"/>
      <c r="BW10" s="198"/>
      <c r="BX10" s="193">
        <f>+'Info recibida'!BY10/550</f>
        <v>0</v>
      </c>
      <c r="BY10" s="194">
        <f>+'Info recibida'!BZ10/550</f>
        <v>0</v>
      </c>
      <c r="BZ10" s="194">
        <f>+'Info recibida'!CA10/550</f>
        <v>0</v>
      </c>
      <c r="CA10" s="194">
        <f>+'Info recibida'!CB10/550</f>
        <v>0</v>
      </c>
      <c r="CB10" s="194">
        <f>+'Info recibida'!CC10/550</f>
        <v>0</v>
      </c>
      <c r="CC10" s="194">
        <f>+'Info recibida'!CD10/550</f>
        <v>0</v>
      </c>
      <c r="CD10" s="194">
        <f>+'Info recibida'!CE10/550</f>
        <v>0</v>
      </c>
      <c r="CE10" s="194">
        <f>+'Info recibida'!CF10/550</f>
        <v>0</v>
      </c>
      <c r="CF10" s="499">
        <f>+'Info recibida'!CG10/550</f>
        <v>0</v>
      </c>
      <c r="CG10" s="195"/>
      <c r="CH10" s="193">
        <f>+'Info recibida'!CH10/550</f>
        <v>0</v>
      </c>
      <c r="CI10" s="194">
        <f>+'Info recibida'!CI10/550</f>
        <v>0</v>
      </c>
      <c r="CJ10" s="194">
        <f>+'Info recibida'!CJ10/550</f>
        <v>0</v>
      </c>
      <c r="CK10" s="194">
        <f>+'Info recibida'!CK10/550</f>
        <v>0</v>
      </c>
      <c r="CL10" s="194">
        <f>+'Info recibida'!CL10/550</f>
        <v>0</v>
      </c>
      <c r="CM10" s="194">
        <f>+'Info recibida'!CM10/550</f>
        <v>0</v>
      </c>
      <c r="CN10" s="194">
        <f>+'Info recibida'!CN10/550</f>
        <v>0</v>
      </c>
      <c r="CO10" s="194">
        <f>+'Info recibida'!CO10/550</f>
        <v>0</v>
      </c>
      <c r="CP10" s="194">
        <f>+'Info recibida'!CP10/550</f>
        <v>0</v>
      </c>
      <c r="CQ10" s="195">
        <f>+'Info recibida'!CQ10/550</f>
        <v>0</v>
      </c>
      <c r="CR10" s="86"/>
      <c r="CS10" s="87"/>
      <c r="CT10" s="87"/>
      <c r="CU10" s="190"/>
      <c r="CV10" s="190"/>
      <c r="CW10" s="190"/>
      <c r="CX10" s="190"/>
      <c r="CY10" s="201">
        <f>+'Info recibida'!CY10/550</f>
        <v>0</v>
      </c>
      <c r="CZ10" s="202"/>
      <c r="DA10" s="512">
        <f t="shared" si="5"/>
        <v>0</v>
      </c>
    </row>
    <row r="11" spans="2:105" ht="26.1" customHeight="1" x14ac:dyDescent="0.25">
      <c r="B11" s="143" t="s">
        <v>12</v>
      </c>
      <c r="C11" s="144" t="s">
        <v>357</v>
      </c>
      <c r="D11" s="59" t="s">
        <v>287</v>
      </c>
      <c r="E11" s="145"/>
      <c r="F11" s="60"/>
      <c r="G11" s="61"/>
      <c r="H11" s="62"/>
      <c r="I11" s="62"/>
      <c r="J11" s="147" t="s">
        <v>253</v>
      </c>
      <c r="K11" s="148" t="s">
        <v>254</v>
      </c>
      <c r="L11" s="149" t="s">
        <v>255</v>
      </c>
      <c r="N11" s="143" t="s">
        <v>12</v>
      </c>
      <c r="O11" s="150"/>
      <c r="P11" s="145"/>
      <c r="Q11" s="145"/>
      <c r="R11" s="145"/>
      <c r="S11" s="145"/>
      <c r="T11" s="145"/>
      <c r="U11" s="145"/>
      <c r="V11" s="145"/>
      <c r="W11" s="145"/>
      <c r="X11" s="145"/>
      <c r="Y11" s="145"/>
      <c r="Z11" s="145"/>
      <c r="AA11" s="145"/>
      <c r="AB11" s="145"/>
      <c r="AC11" s="145"/>
      <c r="AD11" s="145"/>
      <c r="AE11" s="151"/>
      <c r="AF11" s="150"/>
      <c r="AG11" s="145"/>
      <c r="AH11" s="145"/>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45"/>
      <c r="BE11" s="151"/>
      <c r="BF11" s="150"/>
      <c r="BG11" s="154" t="s">
        <v>355</v>
      </c>
      <c r="BH11" s="155"/>
      <c r="BI11" s="487">
        <f>+'Info recibida'!BJ11/550</f>
        <v>0</v>
      </c>
      <c r="BJ11" s="152">
        <f>+'Info recibida'!BK11/550</f>
        <v>0</v>
      </c>
      <c r="BK11" s="152">
        <f>+'Info recibida'!BL11/550</f>
        <v>0</v>
      </c>
      <c r="BL11" s="152">
        <f>+'Info recibida'!BM11/550</f>
        <v>0</v>
      </c>
      <c r="BM11" s="152">
        <f>+'Info recibida'!BN11/550</f>
        <v>0</v>
      </c>
      <c r="BN11" s="152">
        <f>+'Info recibida'!BO11/550</f>
        <v>0</v>
      </c>
      <c r="BO11" s="152">
        <f>+'Info recibida'!BP11/550</f>
        <v>0</v>
      </c>
      <c r="BP11" s="152">
        <f>+'Info recibida'!BQ11/550</f>
        <v>0</v>
      </c>
      <c r="BQ11" s="152">
        <f>+'Info recibida'!BR11/550</f>
        <v>0</v>
      </c>
      <c r="BR11" s="152">
        <f>+'Info recibida'!BS11/550</f>
        <v>0</v>
      </c>
      <c r="BS11" s="152">
        <f>+'Info recibida'!BT11/550</f>
        <v>0</v>
      </c>
      <c r="BT11" s="145"/>
      <c r="BU11" s="145"/>
      <c r="BV11" s="145"/>
      <c r="BW11" s="159"/>
      <c r="BX11" s="157">
        <f>+'Info recibida'!BY11/550</f>
        <v>60000</v>
      </c>
      <c r="BY11" s="152">
        <f>+'Info recibida'!BZ11/550</f>
        <v>60000</v>
      </c>
      <c r="BZ11" s="152">
        <f>+'Info recibida'!CA11/550</f>
        <v>0</v>
      </c>
      <c r="CA11" s="152">
        <f>+'Info recibida'!CB11/550</f>
        <v>0</v>
      </c>
      <c r="CB11" s="152">
        <f>+'Info recibida'!CC11/550</f>
        <v>0</v>
      </c>
      <c r="CC11" s="152">
        <f>+'Info recibida'!CD11/550</f>
        <v>0</v>
      </c>
      <c r="CD11" s="152">
        <f>+'Info recibida'!CE11/550</f>
        <v>0</v>
      </c>
      <c r="CE11" s="152">
        <f>+'Info recibida'!CF11/550</f>
        <v>0</v>
      </c>
      <c r="CF11" s="487">
        <f>+'Info recibida'!CG11/550</f>
        <v>0</v>
      </c>
      <c r="CG11" s="156">
        <f>SUM(BX11:CF11)</f>
        <v>120000</v>
      </c>
      <c r="CH11" s="157">
        <f>+'Info recibida'!CH11/550</f>
        <v>60000</v>
      </c>
      <c r="CI11" s="152">
        <f>+'Info recibida'!CI11/550</f>
        <v>60000</v>
      </c>
      <c r="CJ11" s="152">
        <f>+'Info recibida'!CJ11/550</f>
        <v>0</v>
      </c>
      <c r="CK11" s="152">
        <f>+'Info recibida'!CK11/550</f>
        <v>0</v>
      </c>
      <c r="CL11" s="152">
        <f>+'Info recibida'!CL11/550</f>
        <v>0</v>
      </c>
      <c r="CM11" s="152">
        <f>+'Info recibida'!CM11/550</f>
        <v>0</v>
      </c>
      <c r="CN11" s="152">
        <f>+'Info recibida'!CN11/550</f>
        <v>0</v>
      </c>
      <c r="CO11" s="152">
        <f>+'Info recibida'!CO11/550</f>
        <v>0</v>
      </c>
      <c r="CP11" s="152">
        <f>+'Info recibida'!CP11/550</f>
        <v>0</v>
      </c>
      <c r="CQ11" s="156">
        <f>+'Info recibida'!CQ11/550</f>
        <v>120000</v>
      </c>
      <c r="CR11" s="158"/>
      <c r="CS11" s="160">
        <f>SUM(CS12)</f>
        <v>198000</v>
      </c>
      <c r="CT11" s="145"/>
      <c r="CU11" s="145"/>
      <c r="CV11" s="145"/>
      <c r="CW11" s="145"/>
      <c r="CX11" s="145"/>
      <c r="CY11" s="161">
        <f>+'Info recibida'!CY11/550</f>
        <v>120000</v>
      </c>
      <c r="CZ11" s="151"/>
      <c r="DA11" s="512"/>
    </row>
    <row r="12" spans="2:105" ht="26.1" customHeight="1" x14ac:dyDescent="0.25">
      <c r="B12" s="204" t="s">
        <v>13</v>
      </c>
      <c r="C12" s="205" t="s">
        <v>357</v>
      </c>
      <c r="D12" s="47" t="s">
        <v>463</v>
      </c>
      <c r="E12" s="50" t="s">
        <v>464</v>
      </c>
      <c r="F12" s="48" t="s">
        <v>465</v>
      </c>
      <c r="G12" s="50" t="s">
        <v>103</v>
      </c>
      <c r="H12" s="49"/>
      <c r="I12" s="49" t="s">
        <v>230</v>
      </c>
      <c r="J12" s="206"/>
      <c r="K12" s="207"/>
      <c r="L12" s="208"/>
      <c r="N12" s="237" t="s">
        <v>459</v>
      </c>
      <c r="O12" s="47" t="s">
        <v>463</v>
      </c>
      <c r="P12" s="48" t="s">
        <v>398</v>
      </c>
      <c r="Q12" s="48"/>
      <c r="R12" s="48" t="s">
        <v>307</v>
      </c>
      <c r="S12" s="48"/>
      <c r="T12" s="48" t="s">
        <v>314</v>
      </c>
      <c r="U12" s="48"/>
      <c r="V12" s="48"/>
      <c r="W12" s="48"/>
      <c r="X12" s="48"/>
      <c r="Y12" s="48"/>
      <c r="Z12" s="48"/>
      <c r="AA12" s="48" t="s">
        <v>314</v>
      </c>
      <c r="AB12" s="48"/>
      <c r="AC12" s="48"/>
      <c r="AD12" s="48"/>
      <c r="AE12" s="209"/>
      <c r="AF12" s="47"/>
      <c r="AG12" s="210"/>
      <c r="AH12" s="377" t="s">
        <v>460</v>
      </c>
      <c r="AI12" s="170"/>
      <c r="AJ12" s="170">
        <v>0</v>
      </c>
      <c r="AK12" s="170">
        <v>0</v>
      </c>
      <c r="AL12" s="170">
        <v>0</v>
      </c>
      <c r="AM12" s="170">
        <v>0</v>
      </c>
      <c r="AN12" s="170">
        <v>0</v>
      </c>
      <c r="AO12" s="170">
        <v>0</v>
      </c>
      <c r="AP12" s="170">
        <v>0</v>
      </c>
      <c r="AQ12" s="170">
        <v>0</v>
      </c>
      <c r="AR12" s="170">
        <v>0</v>
      </c>
      <c r="AS12" s="170"/>
      <c r="AT12" s="170"/>
      <c r="AU12" s="170">
        <v>0</v>
      </c>
      <c r="AV12" s="170">
        <v>1</v>
      </c>
      <c r="AW12" s="170">
        <v>0</v>
      </c>
      <c r="AX12" s="170">
        <v>0</v>
      </c>
      <c r="AY12" s="170">
        <v>0</v>
      </c>
      <c r="AZ12" s="170">
        <v>0</v>
      </c>
      <c r="BA12" s="170">
        <v>0</v>
      </c>
      <c r="BB12" s="170">
        <v>0</v>
      </c>
      <c r="BC12" s="170">
        <v>0</v>
      </c>
      <c r="BD12" s="48"/>
      <c r="BE12" s="48"/>
      <c r="BF12" s="206"/>
      <c r="BG12" s="68" t="s">
        <v>349</v>
      </c>
      <c r="BH12" s="48" t="s">
        <v>313</v>
      </c>
      <c r="BI12" s="211">
        <f>+'Info recibida'!BJ12/550</f>
        <v>0</v>
      </c>
      <c r="BJ12" s="170">
        <f>+'Info recibida'!BK12/550</f>
        <v>0</v>
      </c>
      <c r="BK12" s="170">
        <f>+'Info recibida'!BL12/550</f>
        <v>0</v>
      </c>
      <c r="BL12" s="170">
        <f>+'Info recibida'!BM12/550</f>
        <v>0</v>
      </c>
      <c r="BM12" s="170">
        <f>+'Info recibida'!BN12/550</f>
        <v>0</v>
      </c>
      <c r="BN12" s="170">
        <f>+'Info recibida'!BO12/550</f>
        <v>0</v>
      </c>
      <c r="BO12" s="170">
        <f>+'Info recibida'!BP12/550</f>
        <v>0</v>
      </c>
      <c r="BP12" s="170">
        <f>+'Info recibida'!BQ12/550</f>
        <v>0</v>
      </c>
      <c r="BQ12" s="170">
        <f>+'Info recibida'!BR12/550</f>
        <v>0</v>
      </c>
      <c r="BR12" s="170">
        <f>+'Info recibida'!BS12/550</f>
        <v>0</v>
      </c>
      <c r="BS12" s="170">
        <f>+'Info recibida'!BT12/550</f>
        <v>0</v>
      </c>
      <c r="BT12" s="48"/>
      <c r="BU12" s="48"/>
      <c r="BV12" s="48"/>
      <c r="BW12" s="243"/>
      <c r="BX12" s="212">
        <f>+'Info recibida'!BY12/550</f>
        <v>60000</v>
      </c>
      <c r="BY12" s="217">
        <f>+'Info recibida'!BZ12/550</f>
        <v>60000</v>
      </c>
      <c r="BZ12" s="170">
        <f>+'Info recibida'!CA12/550</f>
        <v>0</v>
      </c>
      <c r="CA12" s="170">
        <f>+'Info recibida'!CB12/550</f>
        <v>0</v>
      </c>
      <c r="CB12" s="170">
        <f>+'Info recibida'!CC12/550</f>
        <v>0</v>
      </c>
      <c r="CC12" s="170">
        <f>+'Info recibida'!CD12/550</f>
        <v>0</v>
      </c>
      <c r="CD12" s="170">
        <f>+'Info recibida'!CE12/550</f>
        <v>0</v>
      </c>
      <c r="CE12" s="170">
        <f>+'Info recibida'!CF12/550</f>
        <v>0</v>
      </c>
      <c r="CF12" s="218">
        <f>+'Info recibida'!CG12/550</f>
        <v>0</v>
      </c>
      <c r="CG12" s="213">
        <v>0</v>
      </c>
      <c r="CH12" s="217">
        <f>+'Info recibida'!CH12/550</f>
        <v>60000</v>
      </c>
      <c r="CI12" s="170">
        <f>+'Info recibida'!CI12/550</f>
        <v>60000</v>
      </c>
      <c r="CJ12" s="170">
        <f>+'Info recibida'!CJ12/550</f>
        <v>0</v>
      </c>
      <c r="CK12" s="170">
        <f>+'Info recibida'!CK12/550</f>
        <v>0</v>
      </c>
      <c r="CL12" s="170">
        <f>+'Info recibida'!CL12/550</f>
        <v>0</v>
      </c>
      <c r="CM12" s="170">
        <f>+'Info recibida'!CM12/550</f>
        <v>0</v>
      </c>
      <c r="CN12" s="170">
        <f>+'Info recibida'!CN12/550</f>
        <v>0</v>
      </c>
      <c r="CO12" s="170">
        <f>+'Info recibida'!CO12/550</f>
        <v>0</v>
      </c>
      <c r="CP12" s="170">
        <f>+'Info recibida'!CP12/550</f>
        <v>0</v>
      </c>
      <c r="CQ12" s="213">
        <f>+'Info recibida'!CQ12/550</f>
        <v>120000</v>
      </c>
      <c r="CR12" s="83"/>
      <c r="CS12" s="239">
        <v>198000</v>
      </c>
      <c r="CT12" s="76" t="s">
        <v>461</v>
      </c>
      <c r="CU12" s="210"/>
      <c r="CV12" s="210"/>
      <c r="CW12" s="210"/>
      <c r="CX12" s="210"/>
      <c r="CY12" s="240">
        <f>+'Info recibida'!CY12/550</f>
        <v>120000</v>
      </c>
      <c r="CZ12" s="222"/>
      <c r="DA12" s="512">
        <f t="shared" si="5"/>
        <v>4.535389562158502E-3</v>
      </c>
    </row>
    <row r="13" spans="2:105" ht="26.1" customHeight="1" x14ac:dyDescent="0.25">
      <c r="B13" s="143" t="s">
        <v>458</v>
      </c>
      <c r="C13" s="144" t="s">
        <v>357</v>
      </c>
      <c r="D13" s="59" t="s">
        <v>489</v>
      </c>
      <c r="E13" s="145"/>
      <c r="F13" s="60"/>
      <c r="G13" s="61"/>
      <c r="H13" s="62"/>
      <c r="I13" s="62"/>
      <c r="J13" s="147" t="s">
        <v>253</v>
      </c>
      <c r="K13" s="148" t="s">
        <v>254</v>
      </c>
      <c r="L13" s="149" t="s">
        <v>255</v>
      </c>
      <c r="N13" s="143" t="s">
        <v>458</v>
      </c>
      <c r="O13" s="150"/>
      <c r="P13" s="145"/>
      <c r="Q13" s="145"/>
      <c r="R13" s="145"/>
      <c r="S13" s="145"/>
      <c r="T13" s="145"/>
      <c r="U13" s="145"/>
      <c r="V13" s="145"/>
      <c r="W13" s="145"/>
      <c r="X13" s="145"/>
      <c r="Y13" s="145"/>
      <c r="Z13" s="145"/>
      <c r="AA13" s="145"/>
      <c r="AB13" s="145"/>
      <c r="AC13" s="145"/>
      <c r="AD13" s="145"/>
      <c r="AE13" s="151"/>
      <c r="AF13" s="150"/>
      <c r="AG13" s="145"/>
      <c r="AH13" s="145"/>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45"/>
      <c r="BE13" s="151"/>
      <c r="BF13" s="150"/>
      <c r="BG13" s="154" t="s">
        <v>357</v>
      </c>
      <c r="BH13" s="155"/>
      <c r="BI13" s="487">
        <f>+'Info recibida'!BJ13/550</f>
        <v>0</v>
      </c>
      <c r="BJ13" s="152">
        <f>+'Info recibida'!BK13/550</f>
        <v>5413.090909090909</v>
      </c>
      <c r="BK13" s="152">
        <f>+'Info recibida'!BL13/550</f>
        <v>5683.7454545454548</v>
      </c>
      <c r="BL13" s="152">
        <f>+'Info recibida'!BM13/550</f>
        <v>5967.9327272727269</v>
      </c>
      <c r="BM13" s="152">
        <f>+'Info recibida'!BN13/550</f>
        <v>6266.3293636363642</v>
      </c>
      <c r="BN13" s="152">
        <f>+'Info recibida'!BO13/550</f>
        <v>6579.6458318181831</v>
      </c>
      <c r="BO13" s="152">
        <f>+'Info recibida'!BP13/550</f>
        <v>6908.628123409092</v>
      </c>
      <c r="BP13" s="152">
        <f>+'Info recibida'!BQ13/550</f>
        <v>7254.0595295795465</v>
      </c>
      <c r="BQ13" s="152">
        <f>+'Info recibida'!BR13/550</f>
        <v>7616.7625060585242</v>
      </c>
      <c r="BR13" s="152">
        <f>+'Info recibida'!BS13/550</f>
        <v>7997.6006313614516</v>
      </c>
      <c r="BS13" s="152">
        <f>+'Info recibida'!BT13/550</f>
        <v>59687.795076772258</v>
      </c>
      <c r="BT13" s="145"/>
      <c r="BU13" s="145"/>
      <c r="BV13" s="145"/>
      <c r="BW13" s="159"/>
      <c r="BX13" s="157">
        <f>+'Info recibida'!BY13/550</f>
        <v>109581.81818181818</v>
      </c>
      <c r="BY13" s="152">
        <f>+'Info recibida'!BZ13/550</f>
        <v>204879.09090909091</v>
      </c>
      <c r="BZ13" s="152">
        <f>+'Info recibida'!CA13/550</f>
        <v>300213.95454545453</v>
      </c>
      <c r="CA13" s="152">
        <f>+'Info recibida'!CB13/550</f>
        <v>395588.28863636364</v>
      </c>
      <c r="CB13" s="152">
        <f>+'Info recibida'!CC13/550</f>
        <v>491004.06670454546</v>
      </c>
      <c r="CC13" s="152">
        <f>+'Info recibida'!CD13/550</f>
        <v>586463.36094886367</v>
      </c>
      <c r="CD13" s="152">
        <f>+'Info recibida'!CE13/550</f>
        <v>681968.34717812494</v>
      </c>
      <c r="CE13" s="152">
        <f>+'Info recibida'!CF13/550</f>
        <v>777521.30999157671</v>
      </c>
      <c r="CF13" s="487">
        <f>+'Info recibida'!CG13/550</f>
        <v>802215.55730933731</v>
      </c>
      <c r="CG13" s="156">
        <f t="shared" ref="CG13:CG18" si="6">SUM(BX13:CF13)</f>
        <v>4349435.7944051754</v>
      </c>
      <c r="CH13" s="157">
        <f>+'Info recibida'!CH13/550</f>
        <v>104168.72727272728</v>
      </c>
      <c r="CI13" s="152">
        <f>+'Info recibida'!CI13/550</f>
        <v>199195.34545454546</v>
      </c>
      <c r="CJ13" s="152">
        <f>+'Info recibida'!CJ13/550</f>
        <v>294246.02181818179</v>
      </c>
      <c r="CK13" s="152">
        <f>+'Info recibida'!CK13/550</f>
        <v>389321.95927272725</v>
      </c>
      <c r="CL13" s="152">
        <f>+'Info recibida'!CL13/550</f>
        <v>484424.42087272723</v>
      </c>
      <c r="CM13" s="152">
        <f>+'Info recibida'!CM13/550</f>
        <v>579554.73282545456</v>
      </c>
      <c r="CN13" s="152">
        <f>+'Info recibida'!CN13/550</f>
        <v>674714.28764854546</v>
      </c>
      <c r="CO13" s="152">
        <f>+'Info recibida'!CO13/550</f>
        <v>769904.54748551815</v>
      </c>
      <c r="CP13" s="152">
        <f>+'Info recibida'!CP13/550</f>
        <v>794217.95667797583</v>
      </c>
      <c r="CQ13" s="156">
        <f>+'Info recibida'!CQ13/550</f>
        <v>4289747.9993284037</v>
      </c>
      <c r="CR13" s="158"/>
      <c r="CS13" s="160">
        <f>SUM(CS14)</f>
        <v>89000</v>
      </c>
      <c r="CT13" s="145"/>
      <c r="CU13" s="145"/>
      <c r="CV13" s="145"/>
      <c r="CW13" s="145"/>
      <c r="CX13" s="145"/>
      <c r="CY13" s="161">
        <f>+'Info recibida'!CY13/550</f>
        <v>4200747.9993284037</v>
      </c>
      <c r="CZ13" s="151"/>
      <c r="DA13" s="512"/>
    </row>
    <row r="14" spans="2:105" ht="26.1" customHeight="1" x14ac:dyDescent="0.25">
      <c r="B14" s="204" t="s">
        <v>14</v>
      </c>
      <c r="C14" s="205" t="s">
        <v>357</v>
      </c>
      <c r="D14" s="47" t="s">
        <v>5</v>
      </c>
      <c r="E14" s="48" t="s">
        <v>402</v>
      </c>
      <c r="F14" s="48" t="s">
        <v>373</v>
      </c>
      <c r="G14" s="48" t="s">
        <v>479</v>
      </c>
      <c r="H14" s="49" t="s">
        <v>244</v>
      </c>
      <c r="I14" s="49" t="s">
        <v>237</v>
      </c>
      <c r="J14" s="206"/>
      <c r="K14" s="207"/>
      <c r="L14" s="208"/>
      <c r="N14" s="204" t="s">
        <v>14</v>
      </c>
      <c r="O14" s="47" t="s">
        <v>5</v>
      </c>
      <c r="P14" s="48" t="s">
        <v>402</v>
      </c>
      <c r="Q14" s="48" t="s">
        <v>314</v>
      </c>
      <c r="R14" s="48" t="s">
        <v>314</v>
      </c>
      <c r="S14" s="48" t="s">
        <v>314</v>
      </c>
      <c r="T14" s="48"/>
      <c r="U14" s="48" t="s">
        <v>314</v>
      </c>
      <c r="V14" s="48"/>
      <c r="W14" s="48" t="s">
        <v>314</v>
      </c>
      <c r="X14" s="48"/>
      <c r="Y14" s="48"/>
      <c r="Z14" s="48"/>
      <c r="AA14" s="48"/>
      <c r="AB14" s="48" t="s">
        <v>307</v>
      </c>
      <c r="AC14" s="207"/>
      <c r="AD14" s="207"/>
      <c r="AE14" s="208"/>
      <c r="AF14" s="47" t="s">
        <v>315</v>
      </c>
      <c r="AG14" s="210" t="s">
        <v>319</v>
      </c>
      <c r="AH14" s="97" t="s">
        <v>377</v>
      </c>
      <c r="AI14" s="170"/>
      <c r="AJ14" s="170">
        <v>9</v>
      </c>
      <c r="AK14" s="170">
        <v>9</v>
      </c>
      <c r="AL14" s="170">
        <v>9</v>
      </c>
      <c r="AM14" s="170">
        <v>9</v>
      </c>
      <c r="AN14" s="170">
        <v>9</v>
      </c>
      <c r="AO14" s="170">
        <v>9</v>
      </c>
      <c r="AP14" s="170">
        <v>9</v>
      </c>
      <c r="AQ14" s="170">
        <v>9</v>
      </c>
      <c r="AR14" s="170">
        <v>9</v>
      </c>
      <c r="AS14" s="170"/>
      <c r="AT14" s="170"/>
      <c r="AU14" s="170">
        <v>25</v>
      </c>
      <c r="AV14" s="170">
        <v>25</v>
      </c>
      <c r="AW14" s="170">
        <v>25</v>
      </c>
      <c r="AX14" s="170">
        <v>25</v>
      </c>
      <c r="AY14" s="170">
        <v>25</v>
      </c>
      <c r="AZ14" s="170">
        <v>25</v>
      </c>
      <c r="BA14" s="170">
        <v>25</v>
      </c>
      <c r="BB14" s="170">
        <v>25</v>
      </c>
      <c r="BC14" s="170">
        <v>25</v>
      </c>
      <c r="BD14" s="48"/>
      <c r="BE14" s="94"/>
      <c r="BF14" s="206"/>
      <c r="BG14" s="68" t="s">
        <v>349</v>
      </c>
      <c r="BH14" s="48" t="s">
        <v>313</v>
      </c>
      <c r="BI14" s="211">
        <f>+'Info recibida'!BJ14/550</f>
        <v>0</v>
      </c>
      <c r="BJ14" s="170">
        <f>+'Info recibida'!BK14/550</f>
        <v>5413.090909090909</v>
      </c>
      <c r="BK14" s="170">
        <f>+'Info recibida'!BL14/550</f>
        <v>5683.7454545454548</v>
      </c>
      <c r="BL14" s="170">
        <f>+'Info recibida'!BM14/550</f>
        <v>5967.9327272727269</v>
      </c>
      <c r="BM14" s="170">
        <f>+'Info recibida'!BN14/550</f>
        <v>6266.3293636363642</v>
      </c>
      <c r="BN14" s="170">
        <f>+'Info recibida'!BO14/550</f>
        <v>6579.6458318181831</v>
      </c>
      <c r="BO14" s="170">
        <f>+'Info recibida'!BP14/550</f>
        <v>6908.628123409092</v>
      </c>
      <c r="BP14" s="170">
        <f>+'Info recibida'!BQ14/550</f>
        <v>7254.0595295795465</v>
      </c>
      <c r="BQ14" s="170">
        <f>+'Info recibida'!BR14/550</f>
        <v>7616.7625060585242</v>
      </c>
      <c r="BR14" s="170">
        <f>+'Info recibida'!BS14/550</f>
        <v>7997.6006313614516</v>
      </c>
      <c r="BS14" s="170">
        <f>+'Info recibida'!BT14/550</f>
        <v>59687.795076772258</v>
      </c>
      <c r="BT14" s="308">
        <v>1</v>
      </c>
      <c r="BU14" s="48"/>
      <c r="BV14" s="48"/>
      <c r="BW14" s="243"/>
      <c r="BX14" s="212">
        <f>+'Info recibida'!BY14/550</f>
        <v>15036.363636363636</v>
      </c>
      <c r="BY14" s="170">
        <f>+'Info recibida'!BZ14/550</f>
        <v>15788.181818181818</v>
      </c>
      <c r="BZ14" s="170">
        <f>+'Info recibida'!CA14/550</f>
        <v>16577.590909090908</v>
      </c>
      <c r="CA14" s="170">
        <f>+'Info recibida'!CB14/550</f>
        <v>17406.470454545455</v>
      </c>
      <c r="CB14" s="170">
        <f>+'Info recibida'!CC14/550</f>
        <v>18276.793977272726</v>
      </c>
      <c r="CC14" s="170">
        <f>+'Info recibida'!CD14/550</f>
        <v>19190.633676136364</v>
      </c>
      <c r="CD14" s="170">
        <f>+'Info recibida'!CE14/550</f>
        <v>20150.165359943181</v>
      </c>
      <c r="CE14" s="170">
        <f>+'Info recibida'!CF14/550</f>
        <v>21157.673627940341</v>
      </c>
      <c r="CF14" s="218">
        <f>+'Info recibida'!CG14/550</f>
        <v>22215.55730933736</v>
      </c>
      <c r="CG14" s="213">
        <f t="shared" si="6"/>
        <v>165799.43076881178</v>
      </c>
      <c r="CH14" s="212">
        <f>+'Info recibida'!CH14/550</f>
        <v>9623.2727272727279</v>
      </c>
      <c r="CI14" s="170">
        <f>+'Info recibida'!CI14/550</f>
        <v>10104.436363636363</v>
      </c>
      <c r="CJ14" s="170">
        <f>+'Info recibida'!CJ14/550</f>
        <v>10609.658181818182</v>
      </c>
      <c r="CK14" s="170">
        <f>+'Info recibida'!CK14/550</f>
        <v>11140.14109090909</v>
      </c>
      <c r="CL14" s="170">
        <f>+'Info recibida'!CL14/550</f>
        <v>11697.148145454545</v>
      </c>
      <c r="CM14" s="170">
        <f>+'Info recibida'!CM14/550</f>
        <v>12282.005552727273</v>
      </c>
      <c r="CN14" s="170">
        <f>+'Info recibida'!CN14/550</f>
        <v>12896.105830363635</v>
      </c>
      <c r="CO14" s="170">
        <f>+'Info recibida'!CO14/550</f>
        <v>13540.911121881818</v>
      </c>
      <c r="CP14" s="170">
        <f>+'Info recibida'!CP14/550</f>
        <v>14217.956677975908</v>
      </c>
      <c r="CQ14" s="213">
        <f>+'Info recibida'!CQ14/550</f>
        <v>106111.63569203955</v>
      </c>
      <c r="CR14" s="70"/>
      <c r="CS14" s="220">
        <v>89000</v>
      </c>
      <c r="CT14" s="71" t="s">
        <v>378</v>
      </c>
      <c r="CU14" s="210"/>
      <c r="CV14" s="210"/>
      <c r="CW14" s="210"/>
      <c r="CX14" s="210"/>
      <c r="CY14" s="221">
        <f>+'Info recibida'!CY14/550</f>
        <v>17111.635692039552</v>
      </c>
      <c r="CZ14" s="222"/>
      <c r="DA14" s="512">
        <f t="shared" si="5"/>
        <v>4.0104800411770144E-3</v>
      </c>
    </row>
    <row r="15" spans="2:105" ht="26.1" customHeight="1" x14ac:dyDescent="0.25">
      <c r="B15" s="204"/>
      <c r="C15" s="205" t="s">
        <v>357</v>
      </c>
      <c r="D15" s="47" t="s">
        <v>4</v>
      </c>
      <c r="E15" s="48" t="s">
        <v>477</v>
      </c>
      <c r="F15" s="48" t="s">
        <v>395</v>
      </c>
      <c r="G15" s="48" t="s">
        <v>478</v>
      </c>
      <c r="H15" s="49"/>
      <c r="I15" s="49"/>
      <c r="J15" s="206"/>
      <c r="K15" s="207"/>
      <c r="L15" s="208"/>
      <c r="N15" s="204" t="s">
        <v>475</v>
      </c>
      <c r="O15" s="47" t="s">
        <v>4</v>
      </c>
      <c r="P15" s="48" t="s">
        <v>407</v>
      </c>
      <c r="Q15" s="48" t="s">
        <v>314</v>
      </c>
      <c r="R15" s="48" t="s">
        <v>314</v>
      </c>
      <c r="S15" s="48"/>
      <c r="T15" s="48"/>
      <c r="U15" s="48"/>
      <c r="V15" s="48"/>
      <c r="W15" s="48" t="s">
        <v>307</v>
      </c>
      <c r="X15" s="48"/>
      <c r="Y15" s="48"/>
      <c r="Z15" s="48"/>
      <c r="AA15" s="48"/>
      <c r="AB15" s="48" t="s">
        <v>314</v>
      </c>
      <c r="AC15" s="207"/>
      <c r="AD15" s="207"/>
      <c r="AE15" s="208"/>
      <c r="AF15" s="47" t="s">
        <v>315</v>
      </c>
      <c r="AG15" s="210" t="s">
        <v>319</v>
      </c>
      <c r="AH15" s="97" t="s">
        <v>476</v>
      </c>
      <c r="AI15" s="170"/>
      <c r="AJ15" s="170">
        <v>0</v>
      </c>
      <c r="AK15" s="170">
        <v>0</v>
      </c>
      <c r="AL15" s="170">
        <v>0</v>
      </c>
      <c r="AM15" s="170">
        <v>0</v>
      </c>
      <c r="AN15" s="170">
        <v>0</v>
      </c>
      <c r="AO15" s="170">
        <v>0</v>
      </c>
      <c r="AP15" s="170">
        <v>0</v>
      </c>
      <c r="AQ15" s="170">
        <v>0</v>
      </c>
      <c r="AR15" s="170">
        <v>0</v>
      </c>
      <c r="AS15" s="170"/>
      <c r="AT15" s="170"/>
      <c r="AU15" s="170">
        <v>4</v>
      </c>
      <c r="AV15" s="170">
        <v>4</v>
      </c>
      <c r="AW15" s="170">
        <v>4</v>
      </c>
      <c r="AX15" s="170">
        <v>4</v>
      </c>
      <c r="AY15" s="170">
        <v>4</v>
      </c>
      <c r="AZ15" s="170">
        <v>4</v>
      </c>
      <c r="BA15" s="170">
        <v>4</v>
      </c>
      <c r="BB15" s="170">
        <v>4</v>
      </c>
      <c r="BC15" s="170">
        <v>1</v>
      </c>
      <c r="BD15" s="48"/>
      <c r="BE15" s="94"/>
      <c r="BF15" s="206"/>
      <c r="BG15" s="68" t="s">
        <v>349</v>
      </c>
      <c r="BH15" s="48"/>
      <c r="BI15" s="211">
        <f>+'Info recibida'!BJ15/550</f>
        <v>0</v>
      </c>
      <c r="BJ15" s="170">
        <f>+'Info recibida'!BK15/550</f>
        <v>0</v>
      </c>
      <c r="BK15" s="170">
        <f>+'Info recibida'!BL15/550</f>
        <v>0</v>
      </c>
      <c r="BL15" s="170">
        <f>+'Info recibida'!BM15/550</f>
        <v>0</v>
      </c>
      <c r="BM15" s="170">
        <f>+'Info recibida'!BN15/550</f>
        <v>0</v>
      </c>
      <c r="BN15" s="170">
        <f>+'Info recibida'!BO15/550</f>
        <v>0</v>
      </c>
      <c r="BO15" s="170">
        <f>+'Info recibida'!BP15/550</f>
        <v>0</v>
      </c>
      <c r="BP15" s="170">
        <f>+'Info recibida'!BQ15/550</f>
        <v>0</v>
      </c>
      <c r="BQ15" s="170">
        <f>+'Info recibida'!BR15/550</f>
        <v>0</v>
      </c>
      <c r="BR15" s="170">
        <f>+'Info recibida'!BS15/550</f>
        <v>0</v>
      </c>
      <c r="BS15" s="170">
        <f>+'Info recibida'!BT15/550</f>
        <v>0</v>
      </c>
      <c r="BT15" s="48"/>
      <c r="BU15" s="48"/>
      <c r="BV15" s="48"/>
      <c r="BW15" s="243"/>
      <c r="BX15" s="212">
        <f>+'Info recibida'!BY15/550</f>
        <v>94545.454545454544</v>
      </c>
      <c r="BY15" s="170">
        <f>+'Info recibida'!BZ15/550</f>
        <v>189090.90909090909</v>
      </c>
      <c r="BZ15" s="170">
        <f>+'Info recibida'!CA15/550</f>
        <v>283636.36363636365</v>
      </c>
      <c r="CA15" s="170">
        <f>+'Info recibida'!CB15/550</f>
        <v>378181.81818181818</v>
      </c>
      <c r="CB15" s="170">
        <f>+'Info recibida'!CC15/550</f>
        <v>472727.27272727271</v>
      </c>
      <c r="CC15" s="170">
        <f>+'Info recibida'!CD15/550</f>
        <v>567272.72727272729</v>
      </c>
      <c r="CD15" s="170">
        <f>+'Info recibida'!CE15/550</f>
        <v>661818.18181818177</v>
      </c>
      <c r="CE15" s="170">
        <f>+'Info recibida'!CF15/550</f>
        <v>756363.63636363635</v>
      </c>
      <c r="CF15" s="218">
        <f>+'Info recibida'!CG15/550</f>
        <v>780000</v>
      </c>
      <c r="CG15" s="213">
        <f t="shared" si="6"/>
        <v>4183636.3636363633</v>
      </c>
      <c r="CH15" s="212">
        <f>+'Info recibida'!CH15/550</f>
        <v>94545.454545454544</v>
      </c>
      <c r="CI15" s="170">
        <f>+'Info recibida'!CI15/550</f>
        <v>189090.90909090909</v>
      </c>
      <c r="CJ15" s="170">
        <f>+'Info recibida'!CJ15/550</f>
        <v>283636.36363636365</v>
      </c>
      <c r="CK15" s="170">
        <f>+'Info recibida'!CK15/550</f>
        <v>378181.81818181818</v>
      </c>
      <c r="CL15" s="170">
        <f>+'Info recibida'!CL15/550</f>
        <v>472727.27272727271</v>
      </c>
      <c r="CM15" s="170">
        <f>+'Info recibida'!CM15/550</f>
        <v>567272.72727272729</v>
      </c>
      <c r="CN15" s="170">
        <f>+'Info recibida'!CN15/550</f>
        <v>661818.18181818177</v>
      </c>
      <c r="CO15" s="170">
        <f>+'Info recibida'!CO15/550</f>
        <v>756363.63636363635</v>
      </c>
      <c r="CP15" s="170">
        <f>+'Info recibida'!CP15/550</f>
        <v>780000</v>
      </c>
      <c r="CQ15" s="213">
        <f>+'Info recibida'!CQ15/550</f>
        <v>4183636.3636363638</v>
      </c>
      <c r="CR15" s="70"/>
      <c r="CS15" s="71"/>
      <c r="CT15" s="71"/>
      <c r="CU15" s="210"/>
      <c r="CV15" s="210"/>
      <c r="CW15" s="210"/>
      <c r="CX15" s="210"/>
      <c r="CY15" s="221">
        <f>+'Info recibida'!CY15/550</f>
        <v>4183636.3636363638</v>
      </c>
      <c r="CZ15" s="222"/>
      <c r="DA15" s="512">
        <f t="shared" si="5"/>
        <v>0.15812017246252597</v>
      </c>
    </row>
    <row r="16" spans="2:105" ht="26.1" customHeight="1" x14ac:dyDescent="0.25">
      <c r="B16" s="143" t="s">
        <v>15</v>
      </c>
      <c r="C16" s="144" t="s">
        <v>357</v>
      </c>
      <c r="D16" s="59" t="s">
        <v>4</v>
      </c>
      <c r="E16" s="145"/>
      <c r="F16" s="60"/>
      <c r="G16" s="60"/>
      <c r="H16" s="62"/>
      <c r="I16" s="62"/>
      <c r="J16" s="147" t="s">
        <v>256</v>
      </c>
      <c r="K16" s="148"/>
      <c r="L16" s="149"/>
      <c r="N16" s="143" t="s">
        <v>15</v>
      </c>
      <c r="O16" s="150"/>
      <c r="P16" s="145"/>
      <c r="Q16" s="145"/>
      <c r="R16" s="145"/>
      <c r="S16" s="145"/>
      <c r="T16" s="145"/>
      <c r="U16" s="145"/>
      <c r="V16" s="145"/>
      <c r="W16" s="145"/>
      <c r="X16" s="145"/>
      <c r="Y16" s="145"/>
      <c r="Z16" s="145"/>
      <c r="AA16" s="145"/>
      <c r="AB16" s="145"/>
      <c r="AC16" s="145"/>
      <c r="AD16" s="145"/>
      <c r="AE16" s="151"/>
      <c r="AF16" s="150"/>
      <c r="AG16" s="145"/>
      <c r="AH16" s="145"/>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45"/>
      <c r="BE16" s="151"/>
      <c r="BF16" s="150"/>
      <c r="BG16" s="154" t="s">
        <v>357</v>
      </c>
      <c r="BH16" s="155"/>
      <c r="BI16" s="487">
        <f>+'Info recibida'!BJ16/550</f>
        <v>0</v>
      </c>
      <c r="BJ16" s="152">
        <f>+'Info recibida'!BK16/550</f>
        <v>1645119</v>
      </c>
      <c r="BK16" s="152">
        <f>+'Info recibida'!BL16/550</f>
        <v>1727374.95</v>
      </c>
      <c r="BL16" s="152">
        <f>+'Info recibida'!BM16/550</f>
        <v>1813743.6975</v>
      </c>
      <c r="BM16" s="152">
        <f>+'Info recibida'!BN16/550</f>
        <v>1904430.8823750003</v>
      </c>
      <c r="BN16" s="152">
        <f>+'Info recibida'!BO16/550</f>
        <v>1999652.42649375</v>
      </c>
      <c r="BO16" s="152">
        <f>+'Info recibida'!BP16/550</f>
        <v>2099635.0478184377</v>
      </c>
      <c r="BP16" s="152">
        <f>+'Info recibida'!BQ16/550</f>
        <v>2204616.8002093593</v>
      </c>
      <c r="BQ16" s="152">
        <f>+'Info recibida'!BR16/550</f>
        <v>2314847.6402198272</v>
      </c>
      <c r="BR16" s="152">
        <f>+'Info recibida'!BS16/550</f>
        <v>2430590.0222308184</v>
      </c>
      <c r="BS16" s="152">
        <f>+'Info recibida'!BT16/550</f>
        <v>18140010.466847192</v>
      </c>
      <c r="BT16" s="145"/>
      <c r="BU16" s="145"/>
      <c r="BV16" s="145"/>
      <c r="BW16" s="159"/>
      <c r="BX16" s="157">
        <f>+'Info recibida'!BY16/550</f>
        <v>2719024</v>
      </c>
      <c r="BY16" s="152">
        <f>+'Info recibida'!BZ16/550</f>
        <v>2684625.2</v>
      </c>
      <c r="BZ16" s="152">
        <f>+'Info recibida'!CA16/550</f>
        <v>2593106.46</v>
      </c>
      <c r="CA16" s="152">
        <f>+'Info recibida'!CB16/550</f>
        <v>2722761.7830000003</v>
      </c>
      <c r="CB16" s="152">
        <f>+'Info recibida'!CC16/550</f>
        <v>2858899.8721500002</v>
      </c>
      <c r="CC16" s="152">
        <f>+'Info recibida'!CD16/550</f>
        <v>3001844.8657575003</v>
      </c>
      <c r="CD16" s="152">
        <f>+'Info recibida'!CE16/550</f>
        <v>3151937.1090453756</v>
      </c>
      <c r="CE16" s="152">
        <f>+'Info recibida'!CF16/550</f>
        <v>3309533.9644976445</v>
      </c>
      <c r="CF16" s="487">
        <f>+'Info recibida'!CG16/550</f>
        <v>3475010.6627225266</v>
      </c>
      <c r="CG16" s="156">
        <f t="shared" si="6"/>
        <v>26516743.91717305</v>
      </c>
      <c r="CH16" s="157">
        <f>+'Info recibida'!CH16/550</f>
        <v>1073905</v>
      </c>
      <c r="CI16" s="152">
        <f>+'Info recibida'!CI16/550</f>
        <v>957250.25</v>
      </c>
      <c r="CJ16" s="152">
        <f>+'Info recibida'!CJ16/550</f>
        <v>779362.76249999995</v>
      </c>
      <c r="CK16" s="152">
        <f>+'Info recibida'!CK16/550</f>
        <v>818330.90062500001</v>
      </c>
      <c r="CL16" s="152">
        <f>+'Info recibida'!CL16/550</f>
        <v>859247.44565625023</v>
      </c>
      <c r="CM16" s="152">
        <f>+'Info recibida'!CM16/550</f>
        <v>902209.81793906295</v>
      </c>
      <c r="CN16" s="152">
        <f>+'Info recibida'!CN16/550</f>
        <v>947320.30883601622</v>
      </c>
      <c r="CO16" s="152">
        <f>+'Info recibida'!CO16/550</f>
        <v>994686.32427781716</v>
      </c>
      <c r="CP16" s="152">
        <f>+'Info recibida'!CP16/550</f>
        <v>1044420.6404917079</v>
      </c>
      <c r="CQ16" s="156">
        <f>+'Info recibida'!CQ16/550</f>
        <v>8376733.4503258551</v>
      </c>
      <c r="CR16" s="158"/>
      <c r="CS16" s="160">
        <f>SUM(CS17:CS18)</f>
        <v>772000</v>
      </c>
      <c r="CT16" s="145"/>
      <c r="CU16" s="145"/>
      <c r="CV16" s="145"/>
      <c r="CW16" s="145"/>
      <c r="CX16" s="145"/>
      <c r="CY16" s="161">
        <f>+'Info recibida'!CY16/550</f>
        <v>7604733.4503258551</v>
      </c>
      <c r="CZ16" s="151"/>
      <c r="DA16" s="512"/>
    </row>
    <row r="17" spans="2:105" ht="26.1" customHeight="1" x14ac:dyDescent="0.25">
      <c r="B17" s="163" t="s">
        <v>16</v>
      </c>
      <c r="C17" s="164" t="s">
        <v>357</v>
      </c>
      <c r="D17" s="74" t="s">
        <v>4</v>
      </c>
      <c r="E17" s="247"/>
      <c r="F17" s="75" t="s">
        <v>397</v>
      </c>
      <c r="G17" s="88" t="s">
        <v>104</v>
      </c>
      <c r="H17" s="49"/>
      <c r="I17" s="49" t="s">
        <v>232</v>
      </c>
      <c r="J17" s="206"/>
      <c r="K17" s="207"/>
      <c r="L17" s="208"/>
      <c r="N17" s="204" t="s">
        <v>437</v>
      </c>
      <c r="O17" s="47" t="s">
        <v>438</v>
      </c>
      <c r="P17" s="48" t="s">
        <v>393</v>
      </c>
      <c r="Q17" s="48" t="s">
        <v>314</v>
      </c>
      <c r="R17" s="48" t="s">
        <v>314</v>
      </c>
      <c r="S17" s="48" t="s">
        <v>314</v>
      </c>
      <c r="T17" s="48" t="s">
        <v>314</v>
      </c>
      <c r="U17" s="48" t="s">
        <v>314</v>
      </c>
      <c r="V17" s="48"/>
      <c r="W17" s="48" t="s">
        <v>307</v>
      </c>
      <c r="X17" s="48"/>
      <c r="Y17" s="48"/>
      <c r="Z17" s="48"/>
      <c r="AA17" s="48"/>
      <c r="AB17" s="48" t="s">
        <v>314</v>
      </c>
      <c r="AC17" s="48"/>
      <c r="AD17" s="48"/>
      <c r="AE17" s="209"/>
      <c r="AF17" s="47" t="s">
        <v>315</v>
      </c>
      <c r="AG17" s="210" t="s">
        <v>319</v>
      </c>
      <c r="AH17" s="97" t="s">
        <v>439</v>
      </c>
      <c r="AI17" s="170"/>
      <c r="AJ17" s="170">
        <v>0</v>
      </c>
      <c r="AK17" s="170">
        <v>0</v>
      </c>
      <c r="AL17" s="170">
        <v>0</v>
      </c>
      <c r="AM17" s="170">
        <v>0</v>
      </c>
      <c r="AN17" s="170">
        <v>0</v>
      </c>
      <c r="AO17" s="170">
        <v>0</v>
      </c>
      <c r="AP17" s="170">
        <v>0</v>
      </c>
      <c r="AQ17" s="170">
        <v>0</v>
      </c>
      <c r="AR17" s="170">
        <v>0</v>
      </c>
      <c r="AS17" s="170"/>
      <c r="AT17" s="170"/>
      <c r="AU17" s="170">
        <v>9</v>
      </c>
      <c r="AV17" s="170">
        <v>7</v>
      </c>
      <c r="AW17" s="170">
        <v>0</v>
      </c>
      <c r="AX17" s="170">
        <v>0</v>
      </c>
      <c r="AY17" s="170">
        <v>0</v>
      </c>
      <c r="AZ17" s="170">
        <v>0</v>
      </c>
      <c r="BA17" s="170">
        <v>0</v>
      </c>
      <c r="BB17" s="170">
        <v>0</v>
      </c>
      <c r="BC17" s="170">
        <v>0</v>
      </c>
      <c r="BD17" s="48"/>
      <c r="BE17" s="48"/>
      <c r="BF17" s="206"/>
      <c r="BG17" s="68" t="s">
        <v>349</v>
      </c>
      <c r="BH17" s="48"/>
      <c r="BI17" s="211">
        <f>+'Info recibida'!BJ17/550</f>
        <v>0</v>
      </c>
      <c r="BJ17" s="170">
        <f>+'Info recibida'!BK17/550</f>
        <v>0</v>
      </c>
      <c r="BK17" s="170">
        <f>+'Info recibida'!BL17/550</f>
        <v>0</v>
      </c>
      <c r="BL17" s="170">
        <f>+'Info recibida'!BM17/550</f>
        <v>0</v>
      </c>
      <c r="BM17" s="170">
        <f>+'Info recibida'!BN17/550</f>
        <v>0</v>
      </c>
      <c r="BN17" s="170">
        <f>+'Info recibida'!BO17/550</f>
        <v>0</v>
      </c>
      <c r="BO17" s="170">
        <f>+'Info recibida'!BP17/550</f>
        <v>0</v>
      </c>
      <c r="BP17" s="170">
        <f>+'Info recibida'!BQ17/550</f>
        <v>0</v>
      </c>
      <c r="BQ17" s="170">
        <f>+'Info recibida'!BR17/550</f>
        <v>0</v>
      </c>
      <c r="BR17" s="170">
        <f>+'Info recibida'!BS17/550</f>
        <v>0</v>
      </c>
      <c r="BS17" s="170">
        <f>+'Info recibida'!BT17/550</f>
        <v>0</v>
      </c>
      <c r="BT17" s="48"/>
      <c r="BU17" s="48"/>
      <c r="BV17" s="48"/>
      <c r="BW17" s="243"/>
      <c r="BX17" s="212">
        <f>+'Info recibida'!BY17/550</f>
        <v>367000</v>
      </c>
      <c r="BY17" s="170">
        <f>+'Info recibida'!BZ17/550</f>
        <v>215000</v>
      </c>
      <c r="BZ17" s="170">
        <f>+'Info recibida'!CA17/550</f>
        <v>0</v>
      </c>
      <c r="CA17" s="170">
        <f>+'Info recibida'!CB17/550</f>
        <v>0</v>
      </c>
      <c r="CB17" s="170">
        <f>+'Info recibida'!CC17/550</f>
        <v>0</v>
      </c>
      <c r="CC17" s="170">
        <f>+'Info recibida'!CD17/550</f>
        <v>0</v>
      </c>
      <c r="CD17" s="170">
        <f>+'Info recibida'!CE17/550</f>
        <v>0</v>
      </c>
      <c r="CE17" s="170">
        <f>+'Info recibida'!CF17/550</f>
        <v>0</v>
      </c>
      <c r="CF17" s="218">
        <f>+'Info recibida'!CG17/550</f>
        <v>0</v>
      </c>
      <c r="CG17" s="213">
        <f t="shared" si="6"/>
        <v>582000</v>
      </c>
      <c r="CH17" s="217">
        <f>+'Info recibida'!CH17/550</f>
        <v>367000</v>
      </c>
      <c r="CI17" s="217">
        <f>+'Info recibida'!CI17/550</f>
        <v>215000</v>
      </c>
      <c r="CJ17" s="217">
        <f>+'Info recibida'!CJ17/550</f>
        <v>0</v>
      </c>
      <c r="CK17" s="217">
        <f>+'Info recibida'!CK17/550</f>
        <v>0</v>
      </c>
      <c r="CL17" s="217">
        <f>+'Info recibida'!CL17/550</f>
        <v>0</v>
      </c>
      <c r="CM17" s="217">
        <f>+'Info recibida'!CM17/550</f>
        <v>0</v>
      </c>
      <c r="CN17" s="217">
        <f>+'Info recibida'!CN17/550</f>
        <v>0</v>
      </c>
      <c r="CO17" s="217">
        <f>+'Info recibida'!CO17/550</f>
        <v>0</v>
      </c>
      <c r="CP17" s="217">
        <f>+'Info recibida'!CP17/550</f>
        <v>0</v>
      </c>
      <c r="CQ17" s="213">
        <f>+'Info recibida'!CQ17/550</f>
        <v>582000</v>
      </c>
      <c r="CR17" s="70"/>
      <c r="CS17" s="220">
        <v>582000</v>
      </c>
      <c r="CT17" s="71" t="s">
        <v>337</v>
      </c>
      <c r="CU17" s="210"/>
      <c r="CV17" s="210"/>
      <c r="CW17" s="210"/>
      <c r="CX17" s="210"/>
      <c r="CY17" s="221">
        <f>+'Info recibida'!CY17/550</f>
        <v>0</v>
      </c>
      <c r="CZ17" s="222"/>
      <c r="DA17" s="512">
        <f t="shared" si="5"/>
        <v>2.1996639376468737E-2</v>
      </c>
    </row>
    <row r="18" spans="2:105" ht="26.1" customHeight="1" x14ac:dyDescent="0.25">
      <c r="B18" s="249"/>
      <c r="C18" s="185"/>
      <c r="D18" s="80"/>
      <c r="E18" s="250"/>
      <c r="F18" s="81"/>
      <c r="G18" s="89"/>
      <c r="H18" s="49"/>
      <c r="I18" s="49"/>
      <c r="J18" s="206"/>
      <c r="K18" s="207"/>
      <c r="L18" s="208"/>
      <c r="N18" s="204" t="s">
        <v>442</v>
      </c>
      <c r="O18" s="47" t="s">
        <v>4</v>
      </c>
      <c r="P18" s="48" t="s">
        <v>407</v>
      </c>
      <c r="Q18" s="48" t="s">
        <v>314</v>
      </c>
      <c r="R18" s="48" t="s">
        <v>314</v>
      </c>
      <c r="S18" s="48" t="s">
        <v>314</v>
      </c>
      <c r="T18" s="48" t="s">
        <v>314</v>
      </c>
      <c r="U18" s="48" t="s">
        <v>314</v>
      </c>
      <c r="V18" s="48"/>
      <c r="W18" s="48" t="s">
        <v>307</v>
      </c>
      <c r="X18" s="48"/>
      <c r="Y18" s="48"/>
      <c r="Z18" s="48"/>
      <c r="AA18" s="48"/>
      <c r="AB18" s="48" t="s">
        <v>314</v>
      </c>
      <c r="AC18" s="48"/>
      <c r="AD18" s="48"/>
      <c r="AE18" s="209"/>
      <c r="AF18" s="47" t="s">
        <v>315</v>
      </c>
      <c r="AG18" s="210" t="s">
        <v>319</v>
      </c>
      <c r="AH18" s="97" t="s">
        <v>440</v>
      </c>
      <c r="AI18" s="251">
        <f>558271/123755</f>
        <v>4.5110985414730722</v>
      </c>
      <c r="AJ18" s="251">
        <v>4.5</v>
      </c>
      <c r="AK18" s="251">
        <v>4.5</v>
      </c>
      <c r="AL18" s="251">
        <v>4.5</v>
      </c>
      <c r="AM18" s="251">
        <v>4.5</v>
      </c>
      <c r="AN18" s="251">
        <v>4.5</v>
      </c>
      <c r="AO18" s="251">
        <v>4.5</v>
      </c>
      <c r="AP18" s="251">
        <v>4.5</v>
      </c>
      <c r="AQ18" s="251">
        <v>4.5</v>
      </c>
      <c r="AR18" s="251">
        <v>4.5</v>
      </c>
      <c r="AS18" s="251"/>
      <c r="AT18" s="251"/>
      <c r="AU18" s="251">
        <v>4.5</v>
      </c>
      <c r="AV18" s="251">
        <f>+AU18-0.1</f>
        <v>4.4000000000000004</v>
      </c>
      <c r="AW18" s="251">
        <f t="shared" ref="AW18:BC18" si="7">+AV18-0.1</f>
        <v>4.3000000000000007</v>
      </c>
      <c r="AX18" s="251">
        <f t="shared" si="7"/>
        <v>4.2000000000000011</v>
      </c>
      <c r="AY18" s="251">
        <f t="shared" si="7"/>
        <v>4.1000000000000014</v>
      </c>
      <c r="AZ18" s="251">
        <f t="shared" si="7"/>
        <v>4.0000000000000018</v>
      </c>
      <c r="BA18" s="251">
        <f t="shared" si="7"/>
        <v>3.9000000000000017</v>
      </c>
      <c r="BB18" s="251">
        <f t="shared" si="7"/>
        <v>3.8000000000000016</v>
      </c>
      <c r="BC18" s="251">
        <f t="shared" si="7"/>
        <v>3.7000000000000015</v>
      </c>
      <c r="BD18" s="251"/>
      <c r="BE18" s="251"/>
      <c r="BF18" s="206"/>
      <c r="BG18" s="68" t="s">
        <v>349</v>
      </c>
      <c r="BH18" s="48"/>
      <c r="BI18" s="252">
        <f>+'Info recibida'!BJ18/550</f>
        <v>1566780</v>
      </c>
      <c r="BJ18" s="170">
        <f>+'Info recibida'!BK18/550</f>
        <v>1645119</v>
      </c>
      <c r="BK18" s="170">
        <f>+'Info recibida'!BL18/550</f>
        <v>1727374.95</v>
      </c>
      <c r="BL18" s="170">
        <f>+'Info recibida'!BM18/550</f>
        <v>1813743.6975</v>
      </c>
      <c r="BM18" s="170">
        <f>+'Info recibida'!BN18/550</f>
        <v>1904430.8823750003</v>
      </c>
      <c r="BN18" s="170">
        <f>+'Info recibida'!BO18/550</f>
        <v>1999652.42649375</v>
      </c>
      <c r="BO18" s="170">
        <f>+'Info recibida'!BP18/550</f>
        <v>2099635.0478184377</v>
      </c>
      <c r="BP18" s="170">
        <f>+'Info recibida'!BQ18/550</f>
        <v>2204616.8002093593</v>
      </c>
      <c r="BQ18" s="170">
        <f>+'Info recibida'!BR18/550</f>
        <v>2314847.6402198272</v>
      </c>
      <c r="BR18" s="170">
        <f>+'Info recibida'!BS18/550</f>
        <v>2430590.0222308184</v>
      </c>
      <c r="BS18" s="170">
        <f>+'Info recibida'!BT18/550</f>
        <v>18140010.466847192</v>
      </c>
      <c r="BT18" s="215">
        <v>1</v>
      </c>
      <c r="BU18" s="48"/>
      <c r="BV18" s="48"/>
      <c r="BW18" s="243"/>
      <c r="BX18" s="212">
        <f>+'Info recibida'!BY18/550</f>
        <v>2352024</v>
      </c>
      <c r="BY18" s="170">
        <f>+'Info recibida'!BZ18/550</f>
        <v>2469625.2000000002</v>
      </c>
      <c r="BZ18" s="170">
        <f>+'Info recibida'!CA18/550</f>
        <v>2593106.46</v>
      </c>
      <c r="CA18" s="170">
        <f>+'Info recibida'!CB18/550</f>
        <v>2722761.7830000003</v>
      </c>
      <c r="CB18" s="170">
        <f>+'Info recibida'!CC18/550</f>
        <v>2858899.8721500002</v>
      </c>
      <c r="CC18" s="170">
        <f>+'Info recibida'!CD18/550</f>
        <v>3001844.8657575003</v>
      </c>
      <c r="CD18" s="170">
        <f>+'Info recibida'!CE18/550</f>
        <v>3151937.1090453756</v>
      </c>
      <c r="CE18" s="170">
        <f>+'Info recibida'!CF18/550</f>
        <v>3309533.9644976445</v>
      </c>
      <c r="CF18" s="218">
        <f>+'Info recibida'!CG18/550</f>
        <v>3475010.6627225266</v>
      </c>
      <c r="CG18" s="213">
        <f t="shared" si="6"/>
        <v>25934743.91717305</v>
      </c>
      <c r="CH18" s="217">
        <f>+'Info recibida'!CH18/550</f>
        <v>706905</v>
      </c>
      <c r="CI18" s="217">
        <f>+'Info recibida'!CI18/550</f>
        <v>742250.25</v>
      </c>
      <c r="CJ18" s="217">
        <f>+'Info recibida'!CJ18/550</f>
        <v>779362.76249999995</v>
      </c>
      <c r="CK18" s="217">
        <f>+'Info recibida'!CK18/550</f>
        <v>818330.90062500001</v>
      </c>
      <c r="CL18" s="217">
        <f>+'Info recibida'!CL18/550</f>
        <v>859247.44565625023</v>
      </c>
      <c r="CM18" s="217">
        <f>+'Info recibida'!CM18/550</f>
        <v>902209.81793906295</v>
      </c>
      <c r="CN18" s="217">
        <f>+'Info recibida'!CN18/550</f>
        <v>947320.30883601622</v>
      </c>
      <c r="CO18" s="217">
        <f>+'Info recibida'!CO18/550</f>
        <v>994686.32427781716</v>
      </c>
      <c r="CP18" s="217">
        <f>+'Info recibida'!CP18/550</f>
        <v>1044420.6404917079</v>
      </c>
      <c r="CQ18" s="213">
        <f>+'Info recibida'!CQ18/550</f>
        <v>7794733.4503258551</v>
      </c>
      <c r="CR18" s="70"/>
      <c r="CS18" s="220">
        <v>190000</v>
      </c>
      <c r="CT18" s="71" t="s">
        <v>441</v>
      </c>
      <c r="CU18" s="210"/>
      <c r="CV18" s="210"/>
      <c r="CW18" s="210"/>
      <c r="CX18" s="210"/>
      <c r="CY18" s="221">
        <f>+'Info recibida'!CY18/550</f>
        <v>7604733.4503258551</v>
      </c>
      <c r="CZ18" s="222"/>
      <c r="DA18" s="512">
        <f t="shared" si="5"/>
        <v>0.29460127275346343</v>
      </c>
    </row>
    <row r="19" spans="2:105" ht="26.1" customHeight="1" x14ac:dyDescent="0.25">
      <c r="B19" s="143" t="s">
        <v>420</v>
      </c>
      <c r="C19" s="144" t="s">
        <v>357</v>
      </c>
      <c r="D19" s="59" t="s">
        <v>4</v>
      </c>
      <c r="E19" s="145"/>
      <c r="F19" s="60"/>
      <c r="G19" s="61"/>
      <c r="H19" s="62"/>
      <c r="I19" s="62"/>
      <c r="J19" s="147" t="s">
        <v>253</v>
      </c>
      <c r="K19" s="148" t="s">
        <v>254</v>
      </c>
      <c r="L19" s="149"/>
      <c r="N19" s="143" t="s">
        <v>420</v>
      </c>
      <c r="O19" s="150"/>
      <c r="P19" s="145"/>
      <c r="Q19" s="145"/>
      <c r="R19" s="145"/>
      <c r="S19" s="145"/>
      <c r="T19" s="145"/>
      <c r="U19" s="145"/>
      <c r="V19" s="145"/>
      <c r="W19" s="145"/>
      <c r="X19" s="145"/>
      <c r="Y19" s="145"/>
      <c r="Z19" s="145"/>
      <c r="AA19" s="145"/>
      <c r="AB19" s="145"/>
      <c r="AC19" s="145"/>
      <c r="AD19" s="145"/>
      <c r="AE19" s="151"/>
      <c r="AF19" s="150"/>
      <c r="AG19" s="145"/>
      <c r="AH19" s="145"/>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254"/>
      <c r="BF19" s="150"/>
      <c r="BG19" s="154" t="s">
        <v>357</v>
      </c>
      <c r="BH19" s="155"/>
      <c r="BI19" s="487">
        <f>+'Info recibida'!BJ19/550</f>
        <v>0</v>
      </c>
      <c r="BJ19" s="152">
        <f>+'Info recibida'!BK19/550</f>
        <v>0</v>
      </c>
      <c r="BK19" s="152">
        <f>+'Info recibida'!BL19/550</f>
        <v>0</v>
      </c>
      <c r="BL19" s="152">
        <f>+'Info recibida'!BM19/550</f>
        <v>0</v>
      </c>
      <c r="BM19" s="152">
        <f>+'Info recibida'!BN19/550</f>
        <v>0</v>
      </c>
      <c r="BN19" s="152">
        <f>+'Info recibida'!BO19/550</f>
        <v>0</v>
      </c>
      <c r="BO19" s="152">
        <f>+'Info recibida'!BP19/550</f>
        <v>0</v>
      </c>
      <c r="BP19" s="152">
        <f>+'Info recibida'!BQ19/550</f>
        <v>0</v>
      </c>
      <c r="BQ19" s="152">
        <f>+'Info recibida'!BR19/550</f>
        <v>0</v>
      </c>
      <c r="BR19" s="152">
        <f>+'Info recibida'!BS19/550</f>
        <v>0</v>
      </c>
      <c r="BS19" s="152">
        <f>+'Info recibida'!BT19/550</f>
        <v>0</v>
      </c>
      <c r="BT19" s="145"/>
      <c r="BU19" s="145"/>
      <c r="BV19" s="145"/>
      <c r="BW19" s="159"/>
      <c r="BX19" s="157">
        <f>+'Info recibida'!BY19/550</f>
        <v>24000</v>
      </c>
      <c r="BY19" s="152">
        <f>+'Info recibida'!BZ19/550</f>
        <v>24000</v>
      </c>
      <c r="BZ19" s="152">
        <f>+'Info recibida'!CA19/550</f>
        <v>24000</v>
      </c>
      <c r="CA19" s="152">
        <f>+'Info recibida'!CB19/550</f>
        <v>24000</v>
      </c>
      <c r="CB19" s="152">
        <f>+'Info recibida'!CC19/550</f>
        <v>0</v>
      </c>
      <c r="CC19" s="152">
        <f>+'Info recibida'!CD19/550</f>
        <v>0</v>
      </c>
      <c r="CD19" s="152">
        <f>+'Info recibida'!CE19/550</f>
        <v>0</v>
      </c>
      <c r="CE19" s="152">
        <f>+'Info recibida'!CF19/550</f>
        <v>0</v>
      </c>
      <c r="CF19" s="487">
        <f>+'Info recibida'!CG19/550</f>
        <v>0</v>
      </c>
      <c r="CG19" s="156">
        <f t="shared" ref="CG19:CG26" si="8">SUM(BX19:CF19)</f>
        <v>96000</v>
      </c>
      <c r="CH19" s="157">
        <f>+'Info recibida'!CH19/550</f>
        <v>24000</v>
      </c>
      <c r="CI19" s="152">
        <f>+'Info recibida'!CI19/550</f>
        <v>24000</v>
      </c>
      <c r="CJ19" s="152">
        <f>+'Info recibida'!CJ19/550</f>
        <v>24000</v>
      </c>
      <c r="CK19" s="152">
        <f>+'Info recibida'!CK19/550</f>
        <v>24000</v>
      </c>
      <c r="CL19" s="152">
        <f>+'Info recibida'!CL19/550</f>
        <v>0</v>
      </c>
      <c r="CM19" s="152">
        <f>+'Info recibida'!CM19/550</f>
        <v>0</v>
      </c>
      <c r="CN19" s="152">
        <f>+'Info recibida'!CN19/550</f>
        <v>0</v>
      </c>
      <c r="CO19" s="152">
        <f>+'Info recibida'!CO19/550</f>
        <v>0</v>
      </c>
      <c r="CP19" s="152">
        <f>+'Info recibida'!CP19/550</f>
        <v>0</v>
      </c>
      <c r="CQ19" s="156">
        <f>+'Info recibida'!CQ19/550</f>
        <v>96000</v>
      </c>
      <c r="CR19" s="158"/>
      <c r="CS19" s="160">
        <f>SUM(CS20)</f>
        <v>0</v>
      </c>
      <c r="CT19" s="145"/>
      <c r="CU19" s="145"/>
      <c r="CV19" s="145"/>
      <c r="CW19" s="145"/>
      <c r="CX19" s="145"/>
      <c r="CY19" s="161">
        <f>+'Info recibida'!CY19/550</f>
        <v>96000</v>
      </c>
      <c r="CZ19" s="151"/>
      <c r="DA19" s="512"/>
    </row>
    <row r="20" spans="2:105" ht="26.1" customHeight="1" x14ac:dyDescent="0.25">
      <c r="B20" s="204" t="s">
        <v>17</v>
      </c>
      <c r="C20" s="205" t="s">
        <v>357</v>
      </c>
      <c r="D20" s="47" t="s">
        <v>4</v>
      </c>
      <c r="E20" s="255" t="s">
        <v>403</v>
      </c>
      <c r="F20" s="77" t="s">
        <v>393</v>
      </c>
      <c r="G20" s="48" t="s">
        <v>102</v>
      </c>
      <c r="H20" s="49"/>
      <c r="I20" s="49" t="s">
        <v>233</v>
      </c>
      <c r="J20" s="206"/>
      <c r="K20" s="207"/>
      <c r="L20" s="208"/>
      <c r="N20" s="204" t="s">
        <v>17</v>
      </c>
      <c r="O20" s="47" t="s">
        <v>2</v>
      </c>
      <c r="P20" s="48" t="s">
        <v>403</v>
      </c>
      <c r="Q20" s="48"/>
      <c r="R20" s="48" t="s">
        <v>314</v>
      </c>
      <c r="S20" s="48" t="s">
        <v>314</v>
      </c>
      <c r="T20" s="48"/>
      <c r="U20" s="48" t="s">
        <v>314</v>
      </c>
      <c r="V20" s="48"/>
      <c r="W20" s="48" t="s">
        <v>307</v>
      </c>
      <c r="X20" s="48"/>
      <c r="Y20" s="48"/>
      <c r="Z20" s="48"/>
      <c r="AA20" s="48"/>
      <c r="AB20" s="48" t="s">
        <v>314</v>
      </c>
      <c r="AC20" s="48"/>
      <c r="AD20" s="48"/>
      <c r="AE20" s="209"/>
      <c r="AF20" s="47" t="s">
        <v>315</v>
      </c>
      <c r="AG20" s="210" t="s">
        <v>319</v>
      </c>
      <c r="AH20" s="100" t="s">
        <v>443</v>
      </c>
      <c r="AI20" s="170"/>
      <c r="AJ20" s="170">
        <v>0</v>
      </c>
      <c r="AK20" s="170">
        <v>0</v>
      </c>
      <c r="AL20" s="170">
        <v>0</v>
      </c>
      <c r="AM20" s="170">
        <v>0</v>
      </c>
      <c r="AN20" s="170">
        <v>0</v>
      </c>
      <c r="AO20" s="170">
        <v>0</v>
      </c>
      <c r="AP20" s="170">
        <v>0</v>
      </c>
      <c r="AQ20" s="170">
        <v>0</v>
      </c>
      <c r="AR20" s="170">
        <v>0</v>
      </c>
      <c r="AS20" s="170"/>
      <c r="AT20" s="170"/>
      <c r="AU20" s="170">
        <v>1</v>
      </c>
      <c r="AV20" s="170">
        <v>1</v>
      </c>
      <c r="AW20" s="170">
        <v>1</v>
      </c>
      <c r="AX20" s="170">
        <v>1</v>
      </c>
      <c r="AY20" s="170">
        <v>0</v>
      </c>
      <c r="AZ20" s="170">
        <v>0</v>
      </c>
      <c r="BA20" s="170">
        <v>0</v>
      </c>
      <c r="BB20" s="170">
        <v>0</v>
      </c>
      <c r="BC20" s="170">
        <v>0</v>
      </c>
      <c r="BD20" s="170"/>
      <c r="BE20" s="170"/>
      <c r="BF20" s="206" t="s">
        <v>4</v>
      </c>
      <c r="BG20" s="257" t="s">
        <v>349</v>
      </c>
      <c r="BH20" s="48" t="s">
        <v>313</v>
      </c>
      <c r="BI20" s="211">
        <f>+'Info recibida'!BJ20/550</f>
        <v>0</v>
      </c>
      <c r="BJ20" s="170">
        <f>+'Info recibida'!BK20/550</f>
        <v>0</v>
      </c>
      <c r="BK20" s="170">
        <f>+'Info recibida'!BL20/550</f>
        <v>0</v>
      </c>
      <c r="BL20" s="170">
        <f>+'Info recibida'!BM20/550</f>
        <v>0</v>
      </c>
      <c r="BM20" s="170">
        <f>+'Info recibida'!BN20/550</f>
        <v>0</v>
      </c>
      <c r="BN20" s="170">
        <f>+'Info recibida'!BO20/550</f>
        <v>0</v>
      </c>
      <c r="BO20" s="170">
        <f>+'Info recibida'!BP20/550</f>
        <v>0</v>
      </c>
      <c r="BP20" s="170">
        <f>+'Info recibida'!BQ20/550</f>
        <v>0</v>
      </c>
      <c r="BQ20" s="170">
        <f>+'Info recibida'!BR20/550</f>
        <v>0</v>
      </c>
      <c r="BR20" s="170">
        <f>+'Info recibida'!BS20/550</f>
        <v>0</v>
      </c>
      <c r="BS20" s="170">
        <f>+'Info recibida'!BT20/550</f>
        <v>0</v>
      </c>
      <c r="BT20" s="48"/>
      <c r="BU20" s="48"/>
      <c r="BV20" s="48"/>
      <c r="BW20" s="243"/>
      <c r="BX20" s="212">
        <f>+'Info recibida'!BY20/550</f>
        <v>24000</v>
      </c>
      <c r="BY20" s="170">
        <f>+'Info recibida'!BZ20/550</f>
        <v>24000</v>
      </c>
      <c r="BZ20" s="170">
        <f>+'Info recibida'!CA20/550</f>
        <v>24000</v>
      </c>
      <c r="CA20" s="170">
        <f>+'Info recibida'!CB20/550</f>
        <v>24000</v>
      </c>
      <c r="CB20" s="170">
        <f>+'Info recibida'!CC20/550</f>
        <v>0</v>
      </c>
      <c r="CC20" s="170">
        <f>+'Info recibida'!CD20/550</f>
        <v>0</v>
      </c>
      <c r="CD20" s="170">
        <f>+'Info recibida'!CE20/550</f>
        <v>0</v>
      </c>
      <c r="CE20" s="170">
        <f>+'Info recibida'!CF20/550</f>
        <v>0</v>
      </c>
      <c r="CF20" s="218">
        <f>+'Info recibida'!CG20/550</f>
        <v>0</v>
      </c>
      <c r="CG20" s="213">
        <f t="shared" si="8"/>
        <v>96000</v>
      </c>
      <c r="CH20" s="217">
        <f>+'Info recibida'!CH20/550</f>
        <v>24000</v>
      </c>
      <c r="CI20" s="170">
        <f>+'Info recibida'!CI20/550</f>
        <v>24000</v>
      </c>
      <c r="CJ20" s="170">
        <f>+'Info recibida'!CJ20/550</f>
        <v>24000</v>
      </c>
      <c r="CK20" s="170">
        <f>+'Info recibida'!CK20/550</f>
        <v>24000</v>
      </c>
      <c r="CL20" s="170">
        <f>+'Info recibida'!CL20/550</f>
        <v>0</v>
      </c>
      <c r="CM20" s="170">
        <f>+'Info recibida'!CM20/550</f>
        <v>0</v>
      </c>
      <c r="CN20" s="170">
        <f>+'Info recibida'!CN20/550</f>
        <v>0</v>
      </c>
      <c r="CO20" s="170">
        <f>+'Info recibida'!CO20/550</f>
        <v>0</v>
      </c>
      <c r="CP20" s="170">
        <f>+'Info recibida'!CP20/550</f>
        <v>0</v>
      </c>
      <c r="CQ20" s="213">
        <f>+'Info recibida'!CQ20/550</f>
        <v>96000</v>
      </c>
      <c r="CR20" s="70"/>
      <c r="CS20" s="71"/>
      <c r="CT20" s="71"/>
      <c r="CU20" s="210"/>
      <c r="CV20" s="210"/>
      <c r="CW20" s="210"/>
      <c r="CX20" s="210"/>
      <c r="CY20" s="221">
        <f>+'Info recibida'!CY20/550</f>
        <v>96000</v>
      </c>
      <c r="CZ20" s="222"/>
      <c r="DA20" s="512">
        <f t="shared" si="5"/>
        <v>3.6283116497268018E-3</v>
      </c>
    </row>
    <row r="21" spans="2:105" ht="26.1" customHeight="1" x14ac:dyDescent="0.25">
      <c r="B21" s="143" t="s">
        <v>18</v>
      </c>
      <c r="C21" s="144" t="s">
        <v>357</v>
      </c>
      <c r="D21" s="59" t="s">
        <v>6</v>
      </c>
      <c r="E21" s="145"/>
      <c r="F21" s="60"/>
      <c r="G21" s="61"/>
      <c r="H21" s="62"/>
      <c r="I21" s="62"/>
      <c r="J21" s="147" t="s">
        <v>253</v>
      </c>
      <c r="K21" s="148"/>
      <c r="L21" s="149"/>
      <c r="N21" s="143" t="s">
        <v>18</v>
      </c>
      <c r="O21" s="150"/>
      <c r="P21" s="145"/>
      <c r="Q21" s="145"/>
      <c r="R21" s="145"/>
      <c r="S21" s="145"/>
      <c r="T21" s="145"/>
      <c r="U21" s="145"/>
      <c r="V21" s="145"/>
      <c r="W21" s="145"/>
      <c r="X21" s="145"/>
      <c r="Y21" s="145"/>
      <c r="Z21" s="145"/>
      <c r="AA21" s="145"/>
      <c r="AB21" s="145"/>
      <c r="AC21" s="145"/>
      <c r="AD21" s="145"/>
      <c r="AE21" s="151"/>
      <c r="AF21" s="150"/>
      <c r="AG21" s="145"/>
      <c r="AH21" s="145"/>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254"/>
      <c r="BF21" s="150"/>
      <c r="BG21" s="154" t="s">
        <v>357</v>
      </c>
      <c r="BH21" s="155"/>
      <c r="BI21" s="487">
        <f>+'Info recibida'!BJ21/550</f>
        <v>0</v>
      </c>
      <c r="BJ21" s="152">
        <f>+'Info recibida'!BK21/550</f>
        <v>0</v>
      </c>
      <c r="BK21" s="152">
        <f>+'Info recibida'!BL21/550</f>
        <v>0</v>
      </c>
      <c r="BL21" s="152">
        <f>+'Info recibida'!BM21/550</f>
        <v>0</v>
      </c>
      <c r="BM21" s="152">
        <f>+'Info recibida'!BN21/550</f>
        <v>0</v>
      </c>
      <c r="BN21" s="152">
        <f>+'Info recibida'!BO21/550</f>
        <v>0</v>
      </c>
      <c r="BO21" s="152">
        <f>+'Info recibida'!BP21/550</f>
        <v>0</v>
      </c>
      <c r="BP21" s="152">
        <f>+'Info recibida'!BQ21/550</f>
        <v>0</v>
      </c>
      <c r="BQ21" s="152">
        <f>+'Info recibida'!BR21/550</f>
        <v>0</v>
      </c>
      <c r="BR21" s="152">
        <f>+'Info recibida'!BS21/550</f>
        <v>0</v>
      </c>
      <c r="BS21" s="152">
        <f>+'Info recibida'!BT21/550</f>
        <v>0</v>
      </c>
      <c r="BT21" s="145"/>
      <c r="BU21" s="145"/>
      <c r="BV21" s="145"/>
      <c r="BW21" s="159"/>
      <c r="BX21" s="157">
        <f>+'Info recibida'!BY21/550</f>
        <v>200000</v>
      </c>
      <c r="BY21" s="152">
        <f>+'Info recibida'!BZ21/550</f>
        <v>0</v>
      </c>
      <c r="BZ21" s="152">
        <f>+'Info recibida'!CA21/550</f>
        <v>0</v>
      </c>
      <c r="CA21" s="152">
        <f>+'Info recibida'!CB21/550</f>
        <v>0</v>
      </c>
      <c r="CB21" s="152">
        <f>+'Info recibida'!CC21/550</f>
        <v>0</v>
      </c>
      <c r="CC21" s="152">
        <f>+'Info recibida'!CD21/550</f>
        <v>0</v>
      </c>
      <c r="CD21" s="152">
        <f>+'Info recibida'!CE21/550</f>
        <v>0</v>
      </c>
      <c r="CE21" s="152">
        <f>+'Info recibida'!CF21/550</f>
        <v>0</v>
      </c>
      <c r="CF21" s="487">
        <f>+'Info recibida'!CG21/550</f>
        <v>0</v>
      </c>
      <c r="CG21" s="156">
        <f t="shared" si="8"/>
        <v>200000</v>
      </c>
      <c r="CH21" s="157">
        <f>+'Info recibida'!CH21/550</f>
        <v>200000</v>
      </c>
      <c r="CI21" s="152">
        <f>+'Info recibida'!CI21/550</f>
        <v>0</v>
      </c>
      <c r="CJ21" s="152">
        <f>+'Info recibida'!CJ21/550</f>
        <v>0</v>
      </c>
      <c r="CK21" s="152">
        <f>+'Info recibida'!CK21/550</f>
        <v>0</v>
      </c>
      <c r="CL21" s="152">
        <f>+'Info recibida'!CL21/550</f>
        <v>0</v>
      </c>
      <c r="CM21" s="152">
        <f>+'Info recibida'!CM21/550</f>
        <v>0</v>
      </c>
      <c r="CN21" s="152">
        <f>+'Info recibida'!CN21/550</f>
        <v>0</v>
      </c>
      <c r="CO21" s="152">
        <f>+'Info recibida'!CO21/550</f>
        <v>0</v>
      </c>
      <c r="CP21" s="152">
        <f>+'Info recibida'!CP21/550</f>
        <v>0</v>
      </c>
      <c r="CQ21" s="156">
        <f>+'Info recibida'!CQ21/550</f>
        <v>200000</v>
      </c>
      <c r="CR21" s="158"/>
      <c r="CS21" s="160">
        <f>SUM(CS22)</f>
        <v>200000</v>
      </c>
      <c r="CT21" s="145"/>
      <c r="CU21" s="145"/>
      <c r="CV21" s="145"/>
      <c r="CW21" s="145"/>
      <c r="CX21" s="145"/>
      <c r="CY21" s="161">
        <f>+'Info recibida'!CY21/550</f>
        <v>0</v>
      </c>
      <c r="CZ21" s="151"/>
      <c r="DA21" s="512"/>
    </row>
    <row r="22" spans="2:105" ht="26.1" customHeight="1" x14ac:dyDescent="0.25">
      <c r="B22" s="204" t="s">
        <v>19</v>
      </c>
      <c r="C22" s="205" t="s">
        <v>357</v>
      </c>
      <c r="D22" s="47" t="s">
        <v>492</v>
      </c>
      <c r="E22" s="48" t="s">
        <v>403</v>
      </c>
      <c r="F22" s="48" t="s">
        <v>393</v>
      </c>
      <c r="G22" s="50" t="s">
        <v>105</v>
      </c>
      <c r="H22" s="49" t="s">
        <v>245</v>
      </c>
      <c r="I22" s="49" t="s">
        <v>231</v>
      </c>
      <c r="J22" s="206"/>
      <c r="K22" s="207"/>
      <c r="L22" s="208"/>
      <c r="N22" s="204" t="s">
        <v>19</v>
      </c>
      <c r="O22" s="47" t="s">
        <v>413</v>
      </c>
      <c r="P22" s="48" t="s">
        <v>403</v>
      </c>
      <c r="Q22" s="50" t="s">
        <v>314</v>
      </c>
      <c r="R22" s="50" t="s">
        <v>314</v>
      </c>
      <c r="S22" s="50" t="s">
        <v>314</v>
      </c>
      <c r="T22" s="50"/>
      <c r="U22" s="50"/>
      <c r="V22" s="50"/>
      <c r="W22" s="50" t="s">
        <v>307</v>
      </c>
      <c r="X22" s="50" t="s">
        <v>314</v>
      </c>
      <c r="Y22" s="50" t="s">
        <v>314</v>
      </c>
      <c r="Z22" s="50"/>
      <c r="AA22" s="50"/>
      <c r="AB22" s="50" t="s">
        <v>314</v>
      </c>
      <c r="AC22" s="50" t="s">
        <v>314</v>
      </c>
      <c r="AD22" s="50"/>
      <c r="AE22" s="259"/>
      <c r="AF22" s="47" t="s">
        <v>315</v>
      </c>
      <c r="AG22" s="210" t="s">
        <v>339</v>
      </c>
      <c r="AH22" s="68" t="s">
        <v>340</v>
      </c>
      <c r="AI22" s="170"/>
      <c r="AJ22" s="170">
        <v>0</v>
      </c>
      <c r="AK22" s="170">
        <v>0</v>
      </c>
      <c r="AL22" s="170">
        <v>0</v>
      </c>
      <c r="AM22" s="170">
        <v>0</v>
      </c>
      <c r="AN22" s="170">
        <v>0</v>
      </c>
      <c r="AO22" s="170">
        <v>0</v>
      </c>
      <c r="AP22" s="170">
        <v>0</v>
      </c>
      <c r="AQ22" s="170">
        <v>0</v>
      </c>
      <c r="AR22" s="170">
        <v>0</v>
      </c>
      <c r="AS22" s="170"/>
      <c r="AT22" s="170"/>
      <c r="AU22" s="170"/>
      <c r="AV22" s="170">
        <v>2</v>
      </c>
      <c r="AW22" s="170">
        <v>0</v>
      </c>
      <c r="AX22" s="170">
        <v>0</v>
      </c>
      <c r="AY22" s="170">
        <v>0</v>
      </c>
      <c r="AZ22" s="170">
        <v>0</v>
      </c>
      <c r="BA22" s="170">
        <v>0</v>
      </c>
      <c r="BB22" s="170">
        <v>0</v>
      </c>
      <c r="BC22" s="170">
        <v>0</v>
      </c>
      <c r="BD22" s="170"/>
      <c r="BE22" s="260"/>
      <c r="BF22" s="206" t="s">
        <v>311</v>
      </c>
      <c r="BG22" s="68" t="s">
        <v>349</v>
      </c>
      <c r="BH22" s="48" t="s">
        <v>313</v>
      </c>
      <c r="BI22" s="211">
        <f>+'Info recibida'!BJ22/550</f>
        <v>0</v>
      </c>
      <c r="BJ22" s="170">
        <f>+'Info recibida'!BK22/550</f>
        <v>0</v>
      </c>
      <c r="BK22" s="170">
        <f>+'Info recibida'!BL22/550</f>
        <v>0</v>
      </c>
      <c r="BL22" s="170">
        <f>+'Info recibida'!BM22/550</f>
        <v>0</v>
      </c>
      <c r="BM22" s="170">
        <f>+'Info recibida'!BN22/550</f>
        <v>0</v>
      </c>
      <c r="BN22" s="170">
        <f>+'Info recibida'!BO22/550</f>
        <v>0</v>
      </c>
      <c r="BO22" s="170">
        <f>+'Info recibida'!BP22/550</f>
        <v>0</v>
      </c>
      <c r="BP22" s="170">
        <f>+'Info recibida'!BQ22/550</f>
        <v>0</v>
      </c>
      <c r="BQ22" s="170">
        <f>+'Info recibida'!BR22/550</f>
        <v>0</v>
      </c>
      <c r="BR22" s="170">
        <f>+'Info recibida'!BS22/550</f>
        <v>0</v>
      </c>
      <c r="BS22" s="170">
        <f>+'Info recibida'!BT22/550</f>
        <v>0</v>
      </c>
      <c r="BT22" s="48"/>
      <c r="BU22" s="48"/>
      <c r="BV22" s="48"/>
      <c r="BW22" s="243"/>
      <c r="BX22" s="212">
        <f>+'Info recibida'!BY22/550</f>
        <v>200000</v>
      </c>
      <c r="BY22" s="170">
        <f>+'Info recibida'!BZ22/550</f>
        <v>0</v>
      </c>
      <c r="BZ22" s="170">
        <f>+'Info recibida'!CA22/550</f>
        <v>0</v>
      </c>
      <c r="CA22" s="170">
        <f>+'Info recibida'!CB22/550</f>
        <v>0</v>
      </c>
      <c r="CB22" s="170">
        <f>+'Info recibida'!CC22/550</f>
        <v>0</v>
      </c>
      <c r="CC22" s="170">
        <f>+'Info recibida'!CD22/550</f>
        <v>0</v>
      </c>
      <c r="CD22" s="170">
        <f>+'Info recibida'!CE22/550</f>
        <v>0</v>
      </c>
      <c r="CE22" s="170">
        <f>+'Info recibida'!CF22/550</f>
        <v>0</v>
      </c>
      <c r="CF22" s="218">
        <f>+'Info recibida'!CG22/550</f>
        <v>0</v>
      </c>
      <c r="CG22" s="213">
        <f t="shared" si="8"/>
        <v>200000</v>
      </c>
      <c r="CH22" s="217">
        <f>+'Info recibida'!CH22/550</f>
        <v>200000</v>
      </c>
      <c r="CI22" s="170">
        <f>+'Info recibida'!CI22/550</f>
        <v>0</v>
      </c>
      <c r="CJ22" s="170">
        <f>+'Info recibida'!CJ22/550</f>
        <v>0</v>
      </c>
      <c r="CK22" s="170">
        <f>+'Info recibida'!CK22/550</f>
        <v>0</v>
      </c>
      <c r="CL22" s="170">
        <f>+'Info recibida'!CL22/550</f>
        <v>0</v>
      </c>
      <c r="CM22" s="170">
        <f>+'Info recibida'!CM22/550</f>
        <v>0</v>
      </c>
      <c r="CN22" s="170">
        <f>+'Info recibida'!CN22/550</f>
        <v>0</v>
      </c>
      <c r="CO22" s="170">
        <f>+'Info recibida'!CO22/550</f>
        <v>0</v>
      </c>
      <c r="CP22" s="170">
        <f>+'Info recibida'!CP22/550</f>
        <v>0</v>
      </c>
      <c r="CQ22" s="213">
        <f>+'Info recibida'!CQ22/550</f>
        <v>200000</v>
      </c>
      <c r="CR22" s="70"/>
      <c r="CS22" s="220">
        <v>200000</v>
      </c>
      <c r="CT22" s="71" t="s">
        <v>421</v>
      </c>
      <c r="CU22" s="210"/>
      <c r="CV22" s="210"/>
      <c r="CW22" s="210"/>
      <c r="CX22" s="210"/>
      <c r="CY22" s="221">
        <f>+'Info recibida'!CY22/550</f>
        <v>0</v>
      </c>
      <c r="CZ22" s="222"/>
      <c r="DA22" s="512">
        <f t="shared" si="5"/>
        <v>7.5589826035975033E-3</v>
      </c>
    </row>
    <row r="23" spans="2:105" ht="26.1" customHeight="1" x14ac:dyDescent="0.25">
      <c r="B23" s="143" t="s">
        <v>20</v>
      </c>
      <c r="C23" s="144" t="s">
        <v>355</v>
      </c>
      <c r="D23" s="59" t="s">
        <v>5</v>
      </c>
      <c r="E23" s="145"/>
      <c r="F23" s="60"/>
      <c r="G23" s="61"/>
      <c r="H23" s="62"/>
      <c r="I23" s="62"/>
      <c r="J23" s="147" t="s">
        <v>253</v>
      </c>
      <c r="K23" s="148" t="s">
        <v>254</v>
      </c>
      <c r="L23" s="149"/>
      <c r="N23" s="143" t="s">
        <v>20</v>
      </c>
      <c r="O23" s="150"/>
      <c r="P23" s="145"/>
      <c r="Q23" s="145"/>
      <c r="R23" s="145"/>
      <c r="S23" s="145"/>
      <c r="T23" s="145"/>
      <c r="U23" s="145"/>
      <c r="V23" s="145"/>
      <c r="W23" s="145"/>
      <c r="X23" s="145"/>
      <c r="Y23" s="145"/>
      <c r="Z23" s="145"/>
      <c r="AA23" s="145"/>
      <c r="AB23" s="145"/>
      <c r="AC23" s="145"/>
      <c r="AD23" s="145"/>
      <c r="AE23" s="151"/>
      <c r="AF23" s="150"/>
      <c r="AG23" s="145"/>
      <c r="AH23" s="145"/>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254"/>
      <c r="BF23" s="150"/>
      <c r="BG23" s="154" t="s">
        <v>355</v>
      </c>
      <c r="BH23" s="155"/>
      <c r="BI23" s="487">
        <f>+'Info recibida'!BJ23/550</f>
        <v>0</v>
      </c>
      <c r="BJ23" s="152">
        <f>+'Info recibida'!BK23/550</f>
        <v>458.18181818181819</v>
      </c>
      <c r="BK23" s="152">
        <f>+'Info recibida'!BL23/550</f>
        <v>2290.909090909091</v>
      </c>
      <c r="BL23" s="152">
        <f>+'Info recibida'!BM23/550</f>
        <v>2290.909090909091</v>
      </c>
      <c r="BM23" s="152">
        <f>+'Info recibida'!BN23/550</f>
        <v>2290.909090909091</v>
      </c>
      <c r="BN23" s="152">
        <f>+'Info recibida'!BO23/550</f>
        <v>2290.909090909091</v>
      </c>
      <c r="BO23" s="152">
        <f>+'Info recibida'!BP23/550</f>
        <v>2290.909090909091</v>
      </c>
      <c r="BP23" s="152">
        <f>+'Info recibida'!BQ23/550</f>
        <v>2290.909090909091</v>
      </c>
      <c r="BQ23" s="152">
        <f>+'Info recibida'!BR23/550</f>
        <v>2290.909090909091</v>
      </c>
      <c r="BR23" s="152">
        <f>+'Info recibida'!BS23/550</f>
        <v>2290.909090909091</v>
      </c>
      <c r="BS23" s="152">
        <f>+'Info recibida'!BT23/550</f>
        <v>18785.454545454544</v>
      </c>
      <c r="BT23" s="145"/>
      <c r="BU23" s="145"/>
      <c r="BV23" s="145"/>
      <c r="BW23" s="159"/>
      <c r="BX23" s="157">
        <f>+'Info recibida'!BY23/550</f>
        <v>6185.454545454545</v>
      </c>
      <c r="BY23" s="152">
        <f>+'Info recibida'!BZ23/550</f>
        <v>11454.545454545454</v>
      </c>
      <c r="BZ23" s="152">
        <f>+'Info recibida'!CA23/550</f>
        <v>11454.545454545454</v>
      </c>
      <c r="CA23" s="152">
        <f>+'Info recibida'!CB23/550</f>
        <v>11454.545454545454</v>
      </c>
      <c r="CB23" s="152">
        <f>+'Info recibida'!CC23/550</f>
        <v>11454.545454545454</v>
      </c>
      <c r="CC23" s="152">
        <f>+'Info recibida'!CD23/550</f>
        <v>11454.545454545454</v>
      </c>
      <c r="CD23" s="152">
        <f>+'Info recibida'!CE23/550</f>
        <v>11454.545454545454</v>
      </c>
      <c r="CE23" s="152">
        <f>+'Info recibida'!CF23/550</f>
        <v>11454.545454545454</v>
      </c>
      <c r="CF23" s="487">
        <f>+'Info recibida'!CG23/550</f>
        <v>11454.545454545454</v>
      </c>
      <c r="CG23" s="156">
        <f t="shared" si="8"/>
        <v>97821.818181818191</v>
      </c>
      <c r="CH23" s="157">
        <f>+'Info recibida'!CH23/550</f>
        <v>5727.272727272727</v>
      </c>
      <c r="CI23" s="152">
        <f>+'Info recibida'!CI23/550</f>
        <v>9163.636363636364</v>
      </c>
      <c r="CJ23" s="152">
        <f>+'Info recibida'!CJ23/550</f>
        <v>9163.636363636364</v>
      </c>
      <c r="CK23" s="152">
        <f>+'Info recibida'!CK23/550</f>
        <v>9163.636363636364</v>
      </c>
      <c r="CL23" s="152">
        <f>+'Info recibida'!CL23/550</f>
        <v>9163.636363636364</v>
      </c>
      <c r="CM23" s="152">
        <f>+'Info recibida'!CM23/550</f>
        <v>9163.636363636364</v>
      </c>
      <c r="CN23" s="152">
        <f>+'Info recibida'!CN23/550</f>
        <v>9163.636363636364</v>
      </c>
      <c r="CO23" s="152">
        <f>+'Info recibida'!CO23/550</f>
        <v>9163.636363636364</v>
      </c>
      <c r="CP23" s="152">
        <f>+'Info recibida'!CP23/550</f>
        <v>9163.636363636364</v>
      </c>
      <c r="CQ23" s="156">
        <f>+'Info recibida'!CQ23/550</f>
        <v>79036.363636363632</v>
      </c>
      <c r="CR23" s="158"/>
      <c r="CS23" s="160">
        <f>SUM(CS24)</f>
        <v>0</v>
      </c>
      <c r="CT23" s="145"/>
      <c r="CU23" s="145"/>
      <c r="CV23" s="145"/>
      <c r="CW23" s="145"/>
      <c r="CX23" s="145"/>
      <c r="CY23" s="161">
        <f>+'Info recibida'!CY23/550</f>
        <v>79036.363636363632</v>
      </c>
      <c r="CZ23" s="151"/>
      <c r="DA23" s="512"/>
    </row>
    <row r="24" spans="2:105" ht="26.1" customHeight="1" x14ac:dyDescent="0.25">
      <c r="B24" s="204" t="s">
        <v>21</v>
      </c>
      <c r="C24" s="205" t="s">
        <v>355</v>
      </c>
      <c r="D24" s="47" t="s">
        <v>5</v>
      </c>
      <c r="E24" s="48" t="s">
        <v>402</v>
      </c>
      <c r="F24" s="48" t="s">
        <v>373</v>
      </c>
      <c r="G24" s="48" t="s">
        <v>106</v>
      </c>
      <c r="H24" s="49" t="s">
        <v>217</v>
      </c>
      <c r="I24" s="49" t="s">
        <v>242</v>
      </c>
      <c r="J24" s="206"/>
      <c r="K24" s="207"/>
      <c r="L24" s="208"/>
      <c r="N24" s="261" t="s">
        <v>380</v>
      </c>
      <c r="O24" s="47" t="s">
        <v>5</v>
      </c>
      <c r="P24" s="48" t="s">
        <v>402</v>
      </c>
      <c r="Q24" s="48" t="s">
        <v>314</v>
      </c>
      <c r="R24" s="48" t="s">
        <v>314</v>
      </c>
      <c r="S24" s="48" t="s">
        <v>314</v>
      </c>
      <c r="T24" s="48"/>
      <c r="U24" s="48" t="s">
        <v>314</v>
      </c>
      <c r="V24" s="48"/>
      <c r="W24" s="48" t="s">
        <v>314</v>
      </c>
      <c r="X24" s="48"/>
      <c r="Y24" s="48"/>
      <c r="Z24" s="48"/>
      <c r="AA24" s="48"/>
      <c r="AB24" s="48" t="s">
        <v>307</v>
      </c>
      <c r="AC24" s="48"/>
      <c r="AD24" s="48"/>
      <c r="AE24" s="209"/>
      <c r="AF24" s="47" t="s">
        <v>315</v>
      </c>
      <c r="AG24" s="210" t="s">
        <v>319</v>
      </c>
      <c r="AH24" s="97" t="s">
        <v>381</v>
      </c>
      <c r="AI24" s="170">
        <v>98</v>
      </c>
      <c r="AJ24" s="170">
        <v>100</v>
      </c>
      <c r="AK24" s="170">
        <f>+AJ24+10</f>
        <v>110</v>
      </c>
      <c r="AL24" s="170">
        <f>+AK24+10</f>
        <v>120</v>
      </c>
      <c r="AM24" s="170">
        <f t="shared" ref="AM24:AR24" si="9">+AL24+10</f>
        <v>130</v>
      </c>
      <c r="AN24" s="170">
        <f t="shared" si="9"/>
        <v>140</v>
      </c>
      <c r="AO24" s="170">
        <f t="shared" si="9"/>
        <v>150</v>
      </c>
      <c r="AP24" s="170">
        <f t="shared" si="9"/>
        <v>160</v>
      </c>
      <c r="AQ24" s="170">
        <f t="shared" si="9"/>
        <v>170</v>
      </c>
      <c r="AR24" s="170">
        <f t="shared" si="9"/>
        <v>180</v>
      </c>
      <c r="AS24" s="170"/>
      <c r="AT24" s="170"/>
      <c r="AU24" s="170">
        <v>125</v>
      </c>
      <c r="AV24" s="170">
        <f>+AU24+50</f>
        <v>175</v>
      </c>
      <c r="AW24" s="170">
        <f t="shared" ref="AW24:BC24" si="10">+AV24+50</f>
        <v>225</v>
      </c>
      <c r="AX24" s="170">
        <f t="shared" si="10"/>
        <v>275</v>
      </c>
      <c r="AY24" s="170">
        <f t="shared" si="10"/>
        <v>325</v>
      </c>
      <c r="AZ24" s="170">
        <f t="shared" si="10"/>
        <v>375</v>
      </c>
      <c r="BA24" s="170">
        <f t="shared" si="10"/>
        <v>425</v>
      </c>
      <c r="BB24" s="170">
        <f t="shared" si="10"/>
        <v>475</v>
      </c>
      <c r="BC24" s="170">
        <f t="shared" si="10"/>
        <v>525</v>
      </c>
      <c r="BD24" s="170"/>
      <c r="BE24" s="260"/>
      <c r="BF24" s="206" t="s">
        <v>5</v>
      </c>
      <c r="BG24" s="68" t="s">
        <v>312</v>
      </c>
      <c r="BH24" s="48" t="s">
        <v>313</v>
      </c>
      <c r="BI24" s="211">
        <f>+'Info recibida'!BJ24/550</f>
        <v>0</v>
      </c>
      <c r="BJ24" s="170">
        <f>+'Info recibida'!BK24/550</f>
        <v>458.18181818181819</v>
      </c>
      <c r="BK24" s="170">
        <f>+'Info recibida'!BL24/550</f>
        <v>2290.909090909091</v>
      </c>
      <c r="BL24" s="170">
        <f>+'Info recibida'!BM24/550</f>
        <v>2290.909090909091</v>
      </c>
      <c r="BM24" s="170">
        <f>+'Info recibida'!BN24/550</f>
        <v>2290.909090909091</v>
      </c>
      <c r="BN24" s="170">
        <f>+'Info recibida'!BO24/550</f>
        <v>2290.909090909091</v>
      </c>
      <c r="BO24" s="170">
        <f>+'Info recibida'!BP24/550</f>
        <v>2290.909090909091</v>
      </c>
      <c r="BP24" s="170">
        <f>+'Info recibida'!BQ24/550</f>
        <v>2290.909090909091</v>
      </c>
      <c r="BQ24" s="170">
        <f>+'Info recibida'!BR24/550</f>
        <v>2290.909090909091</v>
      </c>
      <c r="BR24" s="170">
        <f>+'Info recibida'!BS24/550</f>
        <v>2290.909090909091</v>
      </c>
      <c r="BS24" s="170">
        <f>+'Info recibida'!BT24/550</f>
        <v>18785.454545454544</v>
      </c>
      <c r="BT24" s="503">
        <v>1</v>
      </c>
      <c r="BU24" s="170"/>
      <c r="BV24" s="170"/>
      <c r="BW24" s="213"/>
      <c r="BX24" s="212">
        <f>+'Info recibida'!BY24/550</f>
        <v>6185.454545454545</v>
      </c>
      <c r="BY24" s="170">
        <f>+'Info recibida'!BZ24/550</f>
        <v>11454.545454545454</v>
      </c>
      <c r="BZ24" s="170">
        <f>+'Info recibida'!CA24/550</f>
        <v>11454.545454545454</v>
      </c>
      <c r="CA24" s="170">
        <f>+'Info recibida'!CB24/550</f>
        <v>11454.545454545454</v>
      </c>
      <c r="CB24" s="170">
        <f>+'Info recibida'!CC24/550</f>
        <v>11454.545454545454</v>
      </c>
      <c r="CC24" s="170">
        <f>+'Info recibida'!CD24/550</f>
        <v>11454.545454545454</v>
      </c>
      <c r="CD24" s="170">
        <f>+'Info recibida'!CE24/550</f>
        <v>11454.545454545454</v>
      </c>
      <c r="CE24" s="170">
        <f>+'Info recibida'!CF24/550</f>
        <v>11454.545454545454</v>
      </c>
      <c r="CF24" s="218">
        <f>+'Info recibida'!CG24/550</f>
        <v>11454.545454545454</v>
      </c>
      <c r="CG24" s="213">
        <f t="shared" si="8"/>
        <v>97821.818181818191</v>
      </c>
      <c r="CH24" s="212">
        <f>+'Info recibida'!CH24/550</f>
        <v>5727.272727272727</v>
      </c>
      <c r="CI24" s="170">
        <f>+'Info recibida'!CI24/550</f>
        <v>9163.636363636364</v>
      </c>
      <c r="CJ24" s="170">
        <f>+'Info recibida'!CJ24/550</f>
        <v>9163.636363636364</v>
      </c>
      <c r="CK24" s="170">
        <f>+'Info recibida'!CK24/550</f>
        <v>9163.636363636364</v>
      </c>
      <c r="CL24" s="170">
        <f>+'Info recibida'!CL24/550</f>
        <v>9163.636363636364</v>
      </c>
      <c r="CM24" s="170">
        <f>+'Info recibida'!CM24/550</f>
        <v>9163.636363636364</v>
      </c>
      <c r="CN24" s="170">
        <f>+'Info recibida'!CN24/550</f>
        <v>9163.636363636364</v>
      </c>
      <c r="CO24" s="170">
        <f>+'Info recibida'!CO24/550</f>
        <v>9163.636363636364</v>
      </c>
      <c r="CP24" s="170">
        <f>+'Info recibida'!CP24/550</f>
        <v>9163.636363636364</v>
      </c>
      <c r="CQ24" s="213">
        <f>+'Info recibida'!CQ24/550</f>
        <v>79036.363636363632</v>
      </c>
      <c r="CR24" s="70"/>
      <c r="CS24" s="71"/>
      <c r="CT24" s="71"/>
      <c r="CU24" s="210"/>
      <c r="CV24" s="210"/>
      <c r="CW24" s="210"/>
      <c r="CX24" s="210"/>
      <c r="CY24" s="221">
        <f>+'Info recibida'!CY24/550</f>
        <v>79036.363636363632</v>
      </c>
      <c r="CZ24" s="222"/>
      <c r="DA24" s="514">
        <f t="shared" si="5"/>
        <v>2.9871724888943952E-3</v>
      </c>
    </row>
    <row r="25" spans="2:105" ht="26.1" customHeight="1" x14ac:dyDescent="0.25">
      <c r="B25" s="98" t="s">
        <v>22</v>
      </c>
      <c r="C25" s="99"/>
      <c r="D25" s="55"/>
      <c r="E25" s="126"/>
      <c r="F25" s="56"/>
      <c r="G25" s="56"/>
      <c r="H25" s="57"/>
      <c r="I25" s="57"/>
      <c r="J25" s="128"/>
      <c r="K25" s="129"/>
      <c r="L25" s="130"/>
      <c r="N25" s="98" t="s">
        <v>22</v>
      </c>
      <c r="O25" s="131"/>
      <c r="P25" s="126"/>
      <c r="Q25" s="126"/>
      <c r="R25" s="126"/>
      <c r="S25" s="126"/>
      <c r="T25" s="126"/>
      <c r="U25" s="126"/>
      <c r="V25" s="126"/>
      <c r="W25" s="126"/>
      <c r="X25" s="126"/>
      <c r="Y25" s="126"/>
      <c r="Z25" s="126"/>
      <c r="AA25" s="126"/>
      <c r="AB25" s="126"/>
      <c r="AC25" s="126"/>
      <c r="AD25" s="126"/>
      <c r="AE25" s="132"/>
      <c r="AF25" s="131"/>
      <c r="AG25" s="126"/>
      <c r="AH25" s="126"/>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263"/>
      <c r="BF25" s="131"/>
      <c r="BG25" s="126"/>
      <c r="BH25" s="134"/>
      <c r="BI25" s="486">
        <f>+'Info recibida'!BJ25/550</f>
        <v>6302524.3702000007</v>
      </c>
      <c r="BJ25" s="133">
        <f>+'Info recibida'!BK25/550</f>
        <v>10587034.609109091</v>
      </c>
      <c r="BK25" s="133">
        <f>+'Info recibida'!BL25/550</f>
        <v>9082923.7941100001</v>
      </c>
      <c r="BL25" s="133">
        <f>+'Info recibida'!BM25/550</f>
        <v>8839246.1474518627</v>
      </c>
      <c r="BM25" s="133">
        <f>+'Info recibida'!BN25/550</f>
        <v>9230178.7275517285</v>
      </c>
      <c r="BN25" s="133">
        <f>+'Info recibida'!BO25/550</f>
        <v>9596402.9548384063</v>
      </c>
      <c r="BO25" s="133">
        <f>+'Info recibida'!BP25/550</f>
        <v>9939134.3207621444</v>
      </c>
      <c r="BP25" s="133">
        <f>+'Info recibida'!BQ25/550</f>
        <v>10547706.000436617</v>
      </c>
      <c r="BQ25" s="133">
        <f>+'Info recibida'!BR25/550</f>
        <v>10832025.282276629</v>
      </c>
      <c r="BR25" s="133">
        <f>+'Info recibida'!BS25/550</f>
        <v>11497084.637299551</v>
      </c>
      <c r="BS25" s="133">
        <f>+'Info recibida'!BT25/550</f>
        <v>90151736.473836049</v>
      </c>
      <c r="BT25" s="126"/>
      <c r="BU25" s="126"/>
      <c r="BV25" s="126"/>
      <c r="BW25" s="139"/>
      <c r="BX25" s="136">
        <f>+'Info recibida'!BY25/550</f>
        <v>11171913.342747273</v>
      </c>
      <c r="BY25" s="133">
        <f>+'Info recibida'!BZ25/550</f>
        <v>10532491.216493728</v>
      </c>
      <c r="BZ25" s="133">
        <f>+'Info recibida'!CA25/550</f>
        <v>10426033.044588413</v>
      </c>
      <c r="CA25" s="133">
        <f>+'Info recibida'!CB25/550</f>
        <v>11502902.391996652</v>
      </c>
      <c r="CB25" s="133">
        <f>+'Info recibida'!CC25/550</f>
        <v>12517905.787102276</v>
      </c>
      <c r="CC25" s="133">
        <f>+'Info recibida'!CD25/550</f>
        <v>13242280.534968307</v>
      </c>
      <c r="CD25" s="133">
        <f>+'Info recibida'!CE25/550</f>
        <v>14186702.636442365</v>
      </c>
      <c r="CE25" s="133">
        <f>+'Info recibida'!CF25/550</f>
        <v>15412295.689917237</v>
      </c>
      <c r="CF25" s="497">
        <f>+'Info recibida'!CG25/550</f>
        <v>17112381.407322034</v>
      </c>
      <c r="CG25" s="137">
        <f t="shared" si="8"/>
        <v>116104906.05157828</v>
      </c>
      <c r="CH25" s="136">
        <f>+'Info recibida'!CH25/550</f>
        <v>584878.73363818147</v>
      </c>
      <c r="CI25" s="133">
        <f>+'Info recibida'!CI25/550</f>
        <v>1449567.4223837273</v>
      </c>
      <c r="CJ25" s="133">
        <f>+'Info recibida'!CJ25/550</f>
        <v>1586786.8971365504</v>
      </c>
      <c r="CK25" s="133">
        <f>+'Info recibida'!CK25/550</f>
        <v>2272723.6644449239</v>
      </c>
      <c r="CL25" s="133">
        <f>+'Info recibida'!CL25/550</f>
        <v>2921502.8322638702</v>
      </c>
      <c r="CM25" s="133">
        <f>+'Info recibida'!CM25/550</f>
        <v>3303146.2142061614</v>
      </c>
      <c r="CN25" s="133">
        <f>+'Info recibida'!CN25/550</f>
        <v>3638996.6360057495</v>
      </c>
      <c r="CO25" s="133">
        <f>+'Info recibida'!CO25/550</f>
        <v>4580270.407640608</v>
      </c>
      <c r="CP25" s="133">
        <f>+'Info recibida'!CP25/550</f>
        <v>5615296.7700224845</v>
      </c>
      <c r="CQ25" s="137">
        <f>+'Info recibida'!CQ25/550</f>
        <v>25953169.57774226</v>
      </c>
      <c r="CR25" s="138"/>
      <c r="CS25" s="140">
        <f>+CS26+CS30+CS32</f>
        <v>419000</v>
      </c>
      <c r="CT25" s="126"/>
      <c r="CU25" s="126"/>
      <c r="CV25" s="126"/>
      <c r="CW25" s="126"/>
      <c r="CX25" s="126"/>
      <c r="CY25" s="141">
        <f>+'Info recibida'!CY25/550</f>
        <v>25534169.577742252</v>
      </c>
      <c r="CZ25" s="132"/>
      <c r="DA25" s="513">
        <f>SUM(DA27:DA45)</f>
        <v>2.9987868896252396</v>
      </c>
    </row>
    <row r="26" spans="2:105" ht="26.1" customHeight="1" x14ac:dyDescent="0.25">
      <c r="B26" s="143" t="s">
        <v>23</v>
      </c>
      <c r="C26" s="154" t="s">
        <v>355</v>
      </c>
      <c r="D26" s="59" t="s">
        <v>4</v>
      </c>
      <c r="E26" s="145"/>
      <c r="F26" s="60"/>
      <c r="G26" s="60"/>
      <c r="H26" s="62"/>
      <c r="I26" s="62"/>
      <c r="J26" s="147" t="s">
        <v>256</v>
      </c>
      <c r="K26" s="148" t="s">
        <v>258</v>
      </c>
      <c r="L26" s="149"/>
      <c r="N26" s="143" t="s">
        <v>23</v>
      </c>
      <c r="O26" s="150"/>
      <c r="P26" s="145"/>
      <c r="Q26" s="145"/>
      <c r="R26" s="145"/>
      <c r="S26" s="145"/>
      <c r="T26" s="145"/>
      <c r="U26" s="145"/>
      <c r="V26" s="145"/>
      <c r="W26" s="145"/>
      <c r="X26" s="145"/>
      <c r="Y26" s="145"/>
      <c r="Z26" s="145"/>
      <c r="AA26" s="145"/>
      <c r="AB26" s="145"/>
      <c r="AC26" s="145"/>
      <c r="AD26" s="145"/>
      <c r="AE26" s="151"/>
      <c r="AF26" s="150"/>
      <c r="AG26" s="145"/>
      <c r="AH26" s="145"/>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254"/>
      <c r="BF26" s="150"/>
      <c r="BG26" s="154" t="s">
        <v>355</v>
      </c>
      <c r="BH26" s="155"/>
      <c r="BI26" s="487">
        <f>+'Info recibida'!BJ26/550</f>
        <v>45888</v>
      </c>
      <c r="BJ26" s="152">
        <f>+'Info recibida'!BK26/550</f>
        <v>102843.63636363637</v>
      </c>
      <c r="BK26" s="152">
        <f>+'Info recibida'!BL26/550</f>
        <v>113191.63636363637</v>
      </c>
      <c r="BL26" s="152">
        <f>+'Info recibida'!BM26/550</f>
        <v>123937.09090909091</v>
      </c>
      <c r="BM26" s="152">
        <f>+'Info recibida'!BN26/550</f>
        <v>184937.09090909091</v>
      </c>
      <c r="BN26" s="152">
        <f>+'Info recibida'!BO26/550</f>
        <v>127246.18181818182</v>
      </c>
      <c r="BO26" s="152">
        <f>+'Info recibida'!BP26/550</f>
        <v>141962.54545454544</v>
      </c>
      <c r="BP26" s="152">
        <f>+'Info recibida'!BQ26/550</f>
        <v>218991.63636363635</v>
      </c>
      <c r="BQ26" s="152">
        <f>+'Info recibida'!BR26/550</f>
        <v>161137.09090909091</v>
      </c>
      <c r="BR26" s="152">
        <f>+'Info recibida'!BS26/550</f>
        <v>249337.09090909091</v>
      </c>
      <c r="BS26" s="152">
        <f>+'Info recibida'!BT26/550</f>
        <v>1423584</v>
      </c>
      <c r="BT26" s="145"/>
      <c r="BU26" s="145"/>
      <c r="BV26" s="145"/>
      <c r="BW26" s="159"/>
      <c r="BX26" s="157">
        <f>+'Info recibida'!BY26/550</f>
        <v>177830.54545454544</v>
      </c>
      <c r="BY26" s="152">
        <f>+'Info recibida'!BZ26/550</f>
        <v>196667.16363636364</v>
      </c>
      <c r="BZ26" s="152">
        <f>+'Info recibida'!CA26/550</f>
        <v>214848.98181818181</v>
      </c>
      <c r="CA26" s="152">
        <f>+'Info recibida'!CB26/550</f>
        <v>290514.43636363634</v>
      </c>
      <c r="CB26" s="152">
        <f>+'Info recibida'!CC26/550</f>
        <v>215841.70909090908</v>
      </c>
      <c r="CC26" s="152">
        <f>+'Info recibida'!CD26/550</f>
        <v>234023.52727272728</v>
      </c>
      <c r="CD26" s="152">
        <f>+'Info recibida'!CE26/550</f>
        <v>338619.89090909093</v>
      </c>
      <c r="CE26" s="152">
        <f>+'Info recibida'!CF26/550</f>
        <v>272041.70909090911</v>
      </c>
      <c r="CF26" s="487">
        <f>+'Info recibida'!CG26/550</f>
        <v>395678.07272727275</v>
      </c>
      <c r="CG26" s="156">
        <f t="shared" si="8"/>
        <v>2336066.0363636361</v>
      </c>
      <c r="CH26" s="157">
        <f>+'Info recibida'!CH26/550</f>
        <v>74986.909090909088</v>
      </c>
      <c r="CI26" s="152">
        <f>+'Info recibida'!CI26/550</f>
        <v>83475.527272727268</v>
      </c>
      <c r="CJ26" s="152">
        <f>+'Info recibida'!CJ26/550</f>
        <v>90911.890909090915</v>
      </c>
      <c r="CK26" s="152">
        <f>+'Info recibida'!CK26/550</f>
        <v>105577.34545454546</v>
      </c>
      <c r="CL26" s="152">
        <f>+'Info recibida'!CL26/550</f>
        <v>88595.527272727268</v>
      </c>
      <c r="CM26" s="152">
        <f>+'Info recibida'!CM26/550</f>
        <v>92060.981818181812</v>
      </c>
      <c r="CN26" s="152">
        <f>+'Info recibida'!CN26/550</f>
        <v>119628.25454545455</v>
      </c>
      <c r="CO26" s="152">
        <f>+'Info recibida'!CO26/550</f>
        <v>110904.61818181818</v>
      </c>
      <c r="CP26" s="152">
        <f>+'Info recibida'!CP26/550</f>
        <v>146340.98181818181</v>
      </c>
      <c r="CQ26" s="156">
        <f>+'Info recibida'!CQ26/550</f>
        <v>912482.03636363638</v>
      </c>
      <c r="CR26" s="158"/>
      <c r="CS26" s="160">
        <f>SUM(CS27:CS29)</f>
        <v>229000</v>
      </c>
      <c r="CT26" s="145"/>
      <c r="CU26" s="145"/>
      <c r="CV26" s="145"/>
      <c r="CW26" s="145"/>
      <c r="CX26" s="145"/>
      <c r="CY26" s="152">
        <f>+'Info recibida'!CY26/550</f>
        <v>683482.03636363638</v>
      </c>
      <c r="CZ26" s="151"/>
      <c r="DA26" s="103"/>
    </row>
    <row r="27" spans="2:105" ht="26.1" customHeight="1" x14ac:dyDescent="0.25">
      <c r="B27" s="264" t="s">
        <v>24</v>
      </c>
      <c r="C27" s="265" t="s">
        <v>355</v>
      </c>
      <c r="D27" s="74" t="s">
        <v>4</v>
      </c>
      <c r="E27" s="75" t="s">
        <v>409</v>
      </c>
      <c r="F27" s="75" t="s">
        <v>25</v>
      </c>
      <c r="G27" s="88" t="s">
        <v>474</v>
      </c>
      <c r="H27" s="49"/>
      <c r="I27" s="49" t="s">
        <v>229</v>
      </c>
      <c r="J27" s="206"/>
      <c r="K27" s="207"/>
      <c r="L27" s="208"/>
      <c r="N27" s="237" t="s">
        <v>390</v>
      </c>
      <c r="O27" s="47" t="s">
        <v>4</v>
      </c>
      <c r="P27" s="48" t="s">
        <v>409</v>
      </c>
      <c r="Q27" s="48" t="s">
        <v>314</v>
      </c>
      <c r="R27" s="48" t="s">
        <v>314</v>
      </c>
      <c r="S27" s="48"/>
      <c r="T27" s="48" t="s">
        <v>314</v>
      </c>
      <c r="U27" s="48"/>
      <c r="V27" s="48"/>
      <c r="W27" s="48" t="s">
        <v>307</v>
      </c>
      <c r="X27" s="48"/>
      <c r="Y27" s="48"/>
      <c r="Z27" s="48"/>
      <c r="AA27" s="48"/>
      <c r="AB27" s="48" t="s">
        <v>314</v>
      </c>
      <c r="AC27" s="48"/>
      <c r="AD27" s="48" t="s">
        <v>314</v>
      </c>
      <c r="AE27" s="208"/>
      <c r="AF27" s="47" t="s">
        <v>315</v>
      </c>
      <c r="AG27" s="266" t="s">
        <v>319</v>
      </c>
      <c r="AH27" s="267" t="s">
        <v>322</v>
      </c>
      <c r="AI27" s="170"/>
      <c r="AJ27" s="170">
        <v>1</v>
      </c>
      <c r="AK27" s="170">
        <v>1</v>
      </c>
      <c r="AL27" s="170">
        <v>1</v>
      </c>
      <c r="AM27" s="170">
        <v>1</v>
      </c>
      <c r="AN27" s="170">
        <v>1</v>
      </c>
      <c r="AO27" s="170">
        <v>1</v>
      </c>
      <c r="AP27" s="170">
        <v>1</v>
      </c>
      <c r="AQ27" s="170">
        <v>1</v>
      </c>
      <c r="AR27" s="170">
        <v>1</v>
      </c>
      <c r="AS27" s="170"/>
      <c r="AT27" s="170"/>
      <c r="AU27" s="170">
        <v>1</v>
      </c>
      <c r="AV27" s="170">
        <v>1</v>
      </c>
      <c r="AW27" s="170">
        <v>1</v>
      </c>
      <c r="AX27" s="170">
        <v>1</v>
      </c>
      <c r="AY27" s="170">
        <v>1</v>
      </c>
      <c r="AZ27" s="170">
        <v>1</v>
      </c>
      <c r="BA27" s="170">
        <v>1</v>
      </c>
      <c r="BB27" s="170">
        <v>1</v>
      </c>
      <c r="BC27" s="170">
        <v>1</v>
      </c>
      <c r="BD27" s="170"/>
      <c r="BE27" s="260"/>
      <c r="BF27" s="268" t="s">
        <v>4</v>
      </c>
      <c r="BG27" s="68" t="s">
        <v>312</v>
      </c>
      <c r="BH27" s="48" t="s">
        <v>323</v>
      </c>
      <c r="BI27" s="252">
        <f>+'Info recibida'!BJ27/550</f>
        <v>36363.63636363636</v>
      </c>
      <c r="BJ27" s="170">
        <f>+'Info recibida'!BK27/550</f>
        <v>36363.63636363636</v>
      </c>
      <c r="BK27" s="170">
        <f>+'Info recibida'!BL27/550</f>
        <v>45454.545454545456</v>
      </c>
      <c r="BL27" s="170">
        <f>+'Info recibida'!BM27/550</f>
        <v>54545.454545454544</v>
      </c>
      <c r="BM27" s="170">
        <f>+'Info recibida'!BN27/550</f>
        <v>54545.454545454544</v>
      </c>
      <c r="BN27" s="170">
        <f>+'Info recibida'!BO27/550</f>
        <v>54545.454545454544</v>
      </c>
      <c r="BO27" s="170">
        <f>+'Info recibida'!BP27/550</f>
        <v>63636.36363636364</v>
      </c>
      <c r="BP27" s="170">
        <f>+'Info recibida'!BQ27/550</f>
        <v>63636.36363636364</v>
      </c>
      <c r="BQ27" s="170">
        <f>+'Info recibida'!BR27/550</f>
        <v>81818.181818181823</v>
      </c>
      <c r="BR27" s="170">
        <f>+'Info recibida'!BS27/550</f>
        <v>81818.181818181823</v>
      </c>
      <c r="BS27" s="170">
        <f>+'Info recibida'!BT27/550</f>
        <v>536363.63636363635</v>
      </c>
      <c r="BT27" s="215">
        <v>1</v>
      </c>
      <c r="BU27" s="48" t="s">
        <v>324</v>
      </c>
      <c r="BV27" s="48"/>
      <c r="BW27" s="243"/>
      <c r="BX27" s="212">
        <f>+'Info recibida'!BY27/550</f>
        <v>72727.272727272721</v>
      </c>
      <c r="BY27" s="170">
        <f>+'Info recibida'!BZ27/550</f>
        <v>90909.090909090912</v>
      </c>
      <c r="BZ27" s="170">
        <f>+'Info recibida'!CA27/550</f>
        <v>109090.90909090909</v>
      </c>
      <c r="CA27" s="170">
        <f>+'Info recibida'!CB27/550</f>
        <v>109090.90909090909</v>
      </c>
      <c r="CB27" s="170">
        <f>+'Info recibida'!CC27/550</f>
        <v>109090.90909090909</v>
      </c>
      <c r="CC27" s="170">
        <f>+'Info recibida'!CD27/550</f>
        <v>127272.72727272728</v>
      </c>
      <c r="CD27" s="170">
        <f>+'Info recibida'!CE27/550</f>
        <v>127272.72727272728</v>
      </c>
      <c r="CE27" s="170">
        <f>+'Info recibida'!CF27/550</f>
        <v>163636.36363636365</v>
      </c>
      <c r="CF27" s="218">
        <f>+'Info recibida'!CG27/550</f>
        <v>163636.36363636365</v>
      </c>
      <c r="CG27" s="213">
        <f t="shared" ref="CG27:CG37" si="11">SUM(BX27:CF27)</f>
        <v>1072727.2727272727</v>
      </c>
      <c r="CH27" s="212">
        <f>+'Info recibida'!CH27/550</f>
        <v>36363.63636363636</v>
      </c>
      <c r="CI27" s="170">
        <f>+'Info recibida'!CI27/550</f>
        <v>45454.545454545456</v>
      </c>
      <c r="CJ27" s="170">
        <f>+'Info recibida'!CJ27/550</f>
        <v>54545.454545454544</v>
      </c>
      <c r="CK27" s="170">
        <f>+'Info recibida'!CK27/550</f>
        <v>54545.454545454544</v>
      </c>
      <c r="CL27" s="170">
        <f>+'Info recibida'!CL27/550</f>
        <v>54545.454545454544</v>
      </c>
      <c r="CM27" s="170">
        <f>+'Info recibida'!CM27/550</f>
        <v>63636.36363636364</v>
      </c>
      <c r="CN27" s="170">
        <f>+'Info recibida'!CN27/550</f>
        <v>63636.36363636364</v>
      </c>
      <c r="CO27" s="170">
        <f>+'Info recibida'!CO27/550</f>
        <v>81818.181818181823</v>
      </c>
      <c r="CP27" s="170">
        <f>+'Info recibida'!CP27/550</f>
        <v>81818.181818181823</v>
      </c>
      <c r="CQ27" s="213">
        <f>+'Info recibida'!CQ27/550</f>
        <v>536363.63636363635</v>
      </c>
      <c r="CR27" s="70"/>
      <c r="CS27" s="71"/>
      <c r="CT27" s="71"/>
      <c r="CU27" s="210"/>
      <c r="CV27" s="210"/>
      <c r="CW27" s="210"/>
      <c r="CX27" s="210"/>
      <c r="CY27" s="221">
        <f>+'Info recibida'!CY27/550</f>
        <v>536363.63636363635</v>
      </c>
      <c r="CZ27" s="222"/>
      <c r="DA27" s="512">
        <f>+CQ27/CQ$25</f>
        <v>2.0666594681507729E-2</v>
      </c>
    </row>
    <row r="28" spans="2:105" ht="26.1" customHeight="1" x14ac:dyDescent="0.25">
      <c r="B28" s="184"/>
      <c r="C28" s="185"/>
      <c r="D28" s="80"/>
      <c r="E28" s="81"/>
      <c r="F28" s="81"/>
      <c r="G28" s="92"/>
      <c r="H28" s="49"/>
      <c r="I28" s="49" t="s">
        <v>229</v>
      </c>
      <c r="J28" s="206"/>
      <c r="K28" s="207"/>
      <c r="L28" s="208"/>
      <c r="N28" s="237" t="s">
        <v>391</v>
      </c>
      <c r="O28" s="47" t="s">
        <v>4</v>
      </c>
      <c r="P28" s="48" t="s">
        <v>409</v>
      </c>
      <c r="Q28" s="48" t="s">
        <v>314</v>
      </c>
      <c r="R28" s="48"/>
      <c r="S28" s="48"/>
      <c r="T28" s="48"/>
      <c r="U28" s="48"/>
      <c r="V28" s="48"/>
      <c r="W28" s="48" t="s">
        <v>307</v>
      </c>
      <c r="X28" s="48"/>
      <c r="Y28" s="48"/>
      <c r="Z28" s="48"/>
      <c r="AA28" s="48"/>
      <c r="AB28" s="48" t="s">
        <v>314</v>
      </c>
      <c r="AC28" s="48"/>
      <c r="AD28" s="48" t="s">
        <v>314</v>
      </c>
      <c r="AE28" s="208"/>
      <c r="AF28" s="47" t="s">
        <v>315</v>
      </c>
      <c r="AG28" s="266" t="s">
        <v>319</v>
      </c>
      <c r="AH28" s="267" t="s">
        <v>325</v>
      </c>
      <c r="AI28" s="170">
        <v>72</v>
      </c>
      <c r="AJ28" s="170">
        <v>38</v>
      </c>
      <c r="AK28" s="170">
        <v>40</v>
      </c>
      <c r="AL28" s="170">
        <v>45</v>
      </c>
      <c r="AM28" s="170">
        <v>50</v>
      </c>
      <c r="AN28" s="170">
        <v>55</v>
      </c>
      <c r="AO28" s="170">
        <v>72</v>
      </c>
      <c r="AP28" s="170">
        <v>75</v>
      </c>
      <c r="AQ28" s="170">
        <v>75</v>
      </c>
      <c r="AR28" s="170">
        <v>80</v>
      </c>
      <c r="AS28" s="170">
        <v>90</v>
      </c>
      <c r="AT28" s="170">
        <v>100</v>
      </c>
      <c r="AU28" s="170">
        <v>72</v>
      </c>
      <c r="AV28" s="170">
        <v>72</v>
      </c>
      <c r="AW28" s="170">
        <v>72</v>
      </c>
      <c r="AX28" s="170">
        <v>72</v>
      </c>
      <c r="AY28" s="170">
        <v>75</v>
      </c>
      <c r="AZ28" s="170">
        <v>75</v>
      </c>
      <c r="BA28" s="170">
        <v>75</v>
      </c>
      <c r="BB28" s="170">
        <v>80</v>
      </c>
      <c r="BC28" s="170">
        <v>80</v>
      </c>
      <c r="BD28" s="170">
        <v>90</v>
      </c>
      <c r="BE28" s="260">
        <v>100</v>
      </c>
      <c r="BF28" s="268"/>
      <c r="BG28" s="68" t="s">
        <v>312</v>
      </c>
      <c r="BH28" s="48" t="s">
        <v>323</v>
      </c>
      <c r="BI28" s="211">
        <f>+'Info recibida'!BJ28/550</f>
        <v>0</v>
      </c>
      <c r="BJ28" s="170">
        <f>+'Info recibida'!BK28/550</f>
        <v>54574.545454545456</v>
      </c>
      <c r="BK28" s="170">
        <f>+'Info recibida'!BL28/550</f>
        <v>55236.36363636364</v>
      </c>
      <c r="BL28" s="170">
        <f>+'Info recibida'!BM28/550</f>
        <v>56890.909090909088</v>
      </c>
      <c r="BM28" s="170">
        <f>+'Info recibida'!BN28/550</f>
        <v>117890.90909090909</v>
      </c>
      <c r="BN28" s="170">
        <f>+'Info recibida'!BO28/550</f>
        <v>60200</v>
      </c>
      <c r="BO28" s="170">
        <f>+'Info recibida'!BP28/550</f>
        <v>65825.454545454544</v>
      </c>
      <c r="BP28" s="170">
        <f>+'Info recibida'!BQ28/550</f>
        <v>142854.54545454544</v>
      </c>
      <c r="BQ28" s="170">
        <f>+'Info recibida'!BR28/550</f>
        <v>66818.181818181823</v>
      </c>
      <c r="BR28" s="170">
        <f>+'Info recibida'!BS28/550</f>
        <v>155018.18181818182</v>
      </c>
      <c r="BS28" s="170">
        <f>+'Info recibida'!BT28/550</f>
        <v>775309.09090909094</v>
      </c>
      <c r="BT28" s="308">
        <v>1</v>
      </c>
      <c r="BU28" s="48"/>
      <c r="BV28" s="48"/>
      <c r="BW28" s="243"/>
      <c r="BX28" s="212">
        <f>+'Info recibida'!BY28/550</f>
        <v>92007.272727272721</v>
      </c>
      <c r="BY28" s="170">
        <f>+'Info recibida'!BZ28/550</f>
        <v>92007.272727272721</v>
      </c>
      <c r="BZ28" s="170">
        <f>+'Info recibida'!CA28/550</f>
        <v>92007.272727272721</v>
      </c>
      <c r="CA28" s="170">
        <f>+'Info recibida'!CB28/550</f>
        <v>167672.72727272726</v>
      </c>
      <c r="CB28" s="170">
        <f>+'Info recibida'!CC28/550</f>
        <v>93000</v>
      </c>
      <c r="CC28" s="170">
        <f>+'Info recibida'!CD28/550</f>
        <v>93000</v>
      </c>
      <c r="CD28" s="170">
        <f>+'Info recibida'!CE28/550</f>
        <v>197596.36363636365</v>
      </c>
      <c r="CE28" s="170">
        <f>+'Info recibida'!CF28/550</f>
        <v>94654.545454545456</v>
      </c>
      <c r="CF28" s="218">
        <f>+'Info recibida'!CG28/550</f>
        <v>218290.90909090909</v>
      </c>
      <c r="CG28" s="213">
        <f t="shared" si="11"/>
        <v>1140236.3636363635</v>
      </c>
      <c r="CH28" s="212">
        <f>+'Info recibida'!CH28/550</f>
        <v>37432.727272727272</v>
      </c>
      <c r="CI28" s="170">
        <f>+'Info recibida'!CI28/550</f>
        <v>36770.909090909088</v>
      </c>
      <c r="CJ28" s="170">
        <f>+'Info recibida'!CJ28/550</f>
        <v>35116.36363636364</v>
      </c>
      <c r="CK28" s="170">
        <f>+'Info recibida'!CK28/550</f>
        <v>49781.818181818184</v>
      </c>
      <c r="CL28" s="170">
        <f>+'Info recibida'!CL28/550</f>
        <v>32800</v>
      </c>
      <c r="CM28" s="170">
        <f>+'Info recibida'!CM28/550</f>
        <v>27174.545454545456</v>
      </c>
      <c r="CN28" s="170">
        <f>+'Info recibida'!CN28/550</f>
        <v>54741.818181818184</v>
      </c>
      <c r="CO28" s="170">
        <f>+'Info recibida'!CO28/550</f>
        <v>27836.363636363636</v>
      </c>
      <c r="CP28" s="170">
        <f>+'Info recibida'!CP28/550</f>
        <v>63272.727272727272</v>
      </c>
      <c r="CQ28" s="213">
        <f>+'Info recibida'!CQ28/550</f>
        <v>364927.27272727271</v>
      </c>
      <c r="CR28" s="70"/>
      <c r="CS28" s="220">
        <f>60000+169000</f>
        <v>229000</v>
      </c>
      <c r="CT28" s="220" t="s">
        <v>360</v>
      </c>
      <c r="CU28" s="210"/>
      <c r="CV28" s="210"/>
      <c r="CW28" s="210"/>
      <c r="CX28" s="210"/>
      <c r="CY28" s="221">
        <f>+'Info recibida'!CY28/550</f>
        <v>135927.27272727274</v>
      </c>
      <c r="CZ28" s="222"/>
      <c r="DA28" s="512">
        <f t="shared" ref="DA28:DA35" si="12">+CQ28/CQ$25</f>
        <v>1.4060990571272596E-2</v>
      </c>
    </row>
    <row r="29" spans="2:105" ht="26.1" customHeight="1" x14ac:dyDescent="0.25">
      <c r="B29" s="204" t="s">
        <v>26</v>
      </c>
      <c r="C29" s="205" t="s">
        <v>355</v>
      </c>
      <c r="D29" s="47" t="s">
        <v>4</v>
      </c>
      <c r="E29" s="48" t="s">
        <v>407</v>
      </c>
      <c r="F29" s="48" t="s">
        <v>395</v>
      </c>
      <c r="G29" s="50"/>
      <c r="H29" s="49"/>
      <c r="I29" s="49"/>
      <c r="J29" s="206"/>
      <c r="K29" s="207"/>
      <c r="L29" s="208"/>
      <c r="N29" s="204" t="s">
        <v>361</v>
      </c>
      <c r="O29" s="47" t="s">
        <v>4</v>
      </c>
      <c r="P29" s="48" t="s">
        <v>407</v>
      </c>
      <c r="Q29" s="50" t="s">
        <v>314</v>
      </c>
      <c r="R29" s="50"/>
      <c r="S29" s="48" t="s">
        <v>314</v>
      </c>
      <c r="T29" s="50"/>
      <c r="U29" s="50"/>
      <c r="V29" s="50"/>
      <c r="W29" s="50" t="s">
        <v>307</v>
      </c>
      <c r="X29" s="50"/>
      <c r="Y29" s="50"/>
      <c r="Z29" s="50" t="s">
        <v>314</v>
      </c>
      <c r="AA29" s="50"/>
      <c r="AB29" s="50"/>
      <c r="AC29" s="50" t="s">
        <v>314</v>
      </c>
      <c r="AD29" s="50"/>
      <c r="AE29" s="259"/>
      <c r="AF29" s="47" t="s">
        <v>308</v>
      </c>
      <c r="AG29" s="210" t="s">
        <v>309</v>
      </c>
      <c r="AH29" s="267" t="s">
        <v>370</v>
      </c>
      <c r="AI29" s="170">
        <v>10</v>
      </c>
      <c r="AJ29" s="170">
        <v>15</v>
      </c>
      <c r="AK29" s="170">
        <v>15</v>
      </c>
      <c r="AL29" s="170">
        <v>20</v>
      </c>
      <c r="AM29" s="170">
        <v>20</v>
      </c>
      <c r="AN29" s="170">
        <v>20</v>
      </c>
      <c r="AO29" s="170">
        <v>20</v>
      </c>
      <c r="AP29" s="170">
        <v>20</v>
      </c>
      <c r="AQ29" s="170">
        <v>20</v>
      </c>
      <c r="AR29" s="170">
        <v>20</v>
      </c>
      <c r="AS29" s="170">
        <v>20</v>
      </c>
      <c r="AT29" s="170">
        <v>20</v>
      </c>
      <c r="AU29" s="170">
        <v>50</v>
      </c>
      <c r="AV29" s="272">
        <v>60</v>
      </c>
      <c r="AW29" s="272">
        <v>70</v>
      </c>
      <c r="AX29" s="272">
        <v>80</v>
      </c>
      <c r="AY29" s="272">
        <v>90</v>
      </c>
      <c r="AZ29" s="272">
        <v>95</v>
      </c>
      <c r="BA29" s="272">
        <v>95</v>
      </c>
      <c r="BB29" s="272">
        <v>95</v>
      </c>
      <c r="BC29" s="272">
        <v>95</v>
      </c>
      <c r="BD29" s="272">
        <v>95</v>
      </c>
      <c r="BE29" s="260">
        <v>95</v>
      </c>
      <c r="BF29" s="206" t="s">
        <v>4</v>
      </c>
      <c r="BG29" s="68" t="s">
        <v>312</v>
      </c>
      <c r="BH29" s="48" t="s">
        <v>323</v>
      </c>
      <c r="BI29" s="413">
        <f>+'Info recibida'!BJ29/550</f>
        <v>9524.363636363636</v>
      </c>
      <c r="BJ29" s="170">
        <f>+'Info recibida'!BK29/550</f>
        <v>11905.454545454546</v>
      </c>
      <c r="BK29" s="170">
        <f>+'Info recibida'!BL29/550</f>
        <v>12500.727272727272</v>
      </c>
      <c r="BL29" s="170">
        <f>+'Info recibida'!BM29/550</f>
        <v>12500.727272727272</v>
      </c>
      <c r="BM29" s="170">
        <f>+'Info recibida'!BN29/550</f>
        <v>12500.727272727272</v>
      </c>
      <c r="BN29" s="170">
        <f>+'Info recibida'!BO29/550</f>
        <v>12500.727272727272</v>
      </c>
      <c r="BO29" s="170">
        <f>+'Info recibida'!BP29/550</f>
        <v>12500.727272727272</v>
      </c>
      <c r="BP29" s="170">
        <f>+'Info recibida'!BQ29/550</f>
        <v>12500.727272727272</v>
      </c>
      <c r="BQ29" s="170">
        <f>+'Info recibida'!BR29/550</f>
        <v>12500.727272727272</v>
      </c>
      <c r="BR29" s="170">
        <f>+'Info recibida'!BS29/550</f>
        <v>12500.727272727272</v>
      </c>
      <c r="BS29" s="170">
        <f>+'Info recibida'!BT29/550</f>
        <v>111911.27272727272</v>
      </c>
      <c r="BT29" s="504">
        <v>1</v>
      </c>
      <c r="BU29" s="170">
        <v>0.1</v>
      </c>
      <c r="BV29" s="170">
        <v>0</v>
      </c>
      <c r="BW29" s="213"/>
      <c r="BX29" s="212">
        <f>+'Info recibida'!BY29/550</f>
        <v>13096</v>
      </c>
      <c r="BY29" s="170">
        <f>+'Info recibida'!BZ29/550</f>
        <v>13750.8</v>
      </c>
      <c r="BZ29" s="170">
        <f>+'Info recibida'!CA29/550</f>
        <v>13750.8</v>
      </c>
      <c r="CA29" s="170">
        <f>+'Info recibida'!CB29/550</f>
        <v>13750.8</v>
      </c>
      <c r="CB29" s="170">
        <f>+'Info recibida'!CC29/550</f>
        <v>13750.8</v>
      </c>
      <c r="CC29" s="170">
        <f>+'Info recibida'!CD29/550</f>
        <v>13750.8</v>
      </c>
      <c r="CD29" s="170">
        <f>+'Info recibida'!CE29/550</f>
        <v>13750.8</v>
      </c>
      <c r="CE29" s="170">
        <f>+'Info recibida'!CF29/550</f>
        <v>13750.8</v>
      </c>
      <c r="CF29" s="218">
        <f>+'Info recibida'!CG29/550</f>
        <v>13750.8</v>
      </c>
      <c r="CG29" s="213">
        <f t="shared" si="11"/>
        <v>123102.40000000001</v>
      </c>
      <c r="CH29" s="212">
        <f>+'Info recibida'!CH29/550</f>
        <v>1190.5454545454545</v>
      </c>
      <c r="CI29" s="170">
        <f>+'Info recibida'!CI29/550</f>
        <v>1250.0727272727272</v>
      </c>
      <c r="CJ29" s="170">
        <f>+'Info recibida'!CJ29/550</f>
        <v>1250.0727272727272</v>
      </c>
      <c r="CK29" s="170">
        <f>+'Info recibida'!CK29/550</f>
        <v>1250.0727272727272</v>
      </c>
      <c r="CL29" s="170">
        <f>+'Info recibida'!CL29/550</f>
        <v>1250.0727272727272</v>
      </c>
      <c r="CM29" s="170">
        <f>+'Info recibida'!CM29/550</f>
        <v>1250.0727272727272</v>
      </c>
      <c r="CN29" s="170">
        <f>+'Info recibida'!CN29/550</f>
        <v>1250.0727272727272</v>
      </c>
      <c r="CO29" s="170">
        <f>+'Info recibida'!CO29/550</f>
        <v>1250.0727272727272</v>
      </c>
      <c r="CP29" s="170">
        <f>+'Info recibida'!CP29/550</f>
        <v>1250.0727272727272</v>
      </c>
      <c r="CQ29" s="213">
        <f>+'Info recibida'!CQ29/550</f>
        <v>11191.127272727274</v>
      </c>
      <c r="CR29" s="219"/>
      <c r="CS29" s="220"/>
      <c r="CT29" s="220"/>
      <c r="CU29" s="210"/>
      <c r="CV29" s="210"/>
      <c r="CW29" s="210"/>
      <c r="CX29" s="210"/>
      <c r="CY29" s="221">
        <f>+'Info recibida'!CY29/550</f>
        <v>11191.127272727274</v>
      </c>
      <c r="CZ29" s="222"/>
      <c r="DA29" s="515">
        <f t="shared" si="12"/>
        <v>4.3120464493573511E-4</v>
      </c>
    </row>
    <row r="30" spans="2:105" ht="26.1" customHeight="1" x14ac:dyDescent="0.25">
      <c r="B30" s="143" t="s">
        <v>27</v>
      </c>
      <c r="C30" s="144" t="s">
        <v>357</v>
      </c>
      <c r="D30" s="59" t="s">
        <v>4</v>
      </c>
      <c r="E30" s="145"/>
      <c r="F30" s="60"/>
      <c r="G30" s="61"/>
      <c r="H30" s="62"/>
      <c r="I30" s="62"/>
      <c r="J30" s="147" t="s">
        <v>256</v>
      </c>
      <c r="K30" s="148" t="s">
        <v>258</v>
      </c>
      <c r="L30" s="149"/>
      <c r="N30" s="143" t="s">
        <v>27</v>
      </c>
      <c r="O30" s="150"/>
      <c r="P30" s="145"/>
      <c r="Q30" s="145"/>
      <c r="R30" s="145"/>
      <c r="S30" s="145"/>
      <c r="T30" s="145"/>
      <c r="U30" s="145"/>
      <c r="V30" s="145"/>
      <c r="W30" s="145"/>
      <c r="X30" s="145"/>
      <c r="Y30" s="145"/>
      <c r="Z30" s="145"/>
      <c r="AA30" s="145"/>
      <c r="AB30" s="145"/>
      <c r="AC30" s="145"/>
      <c r="AD30" s="145"/>
      <c r="AE30" s="151"/>
      <c r="AF30" s="150"/>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51"/>
      <c r="BF30" s="150"/>
      <c r="BG30" s="154" t="s">
        <v>357</v>
      </c>
      <c r="BH30" s="155"/>
      <c r="BI30" s="487">
        <f>+'Info recibida'!BJ30/550</f>
        <v>0</v>
      </c>
      <c r="BJ30" s="152">
        <f>+'Info recibida'!BK30/550</f>
        <v>3158000</v>
      </c>
      <c r="BK30" s="152">
        <f>+'Info recibida'!BL30/550</f>
        <v>1396181.8181818181</v>
      </c>
      <c r="BL30" s="152">
        <f>+'Info recibida'!BM30/550</f>
        <v>853454.54545454541</v>
      </c>
      <c r="BM30" s="152">
        <f>+'Info recibida'!BN30/550</f>
        <v>880727.27272727271</v>
      </c>
      <c r="BN30" s="152">
        <f>+'Info recibida'!BO30/550</f>
        <v>986909.09090909094</v>
      </c>
      <c r="BO30" s="152">
        <f>+'Info recibida'!BP30/550</f>
        <v>947272.72727272729</v>
      </c>
      <c r="BP30" s="152">
        <f>+'Info recibida'!BQ30/550</f>
        <v>1162727.2727272727</v>
      </c>
      <c r="BQ30" s="152">
        <f>+'Info recibida'!BR30/550</f>
        <v>1137272.7272727273</v>
      </c>
      <c r="BR30" s="152">
        <f>+'Info recibida'!BS30/550</f>
        <v>1328181.8181818181</v>
      </c>
      <c r="BS30" s="152">
        <f>+'Info recibida'!BT30/550</f>
        <v>11850727.272727273</v>
      </c>
      <c r="BT30" s="145"/>
      <c r="BU30" s="145"/>
      <c r="BV30" s="145"/>
      <c r="BW30" s="159"/>
      <c r="BX30" s="157">
        <f>+'Info recibida'!BY30/550</f>
        <v>3106181.8181818184</v>
      </c>
      <c r="BY30" s="152">
        <f>+'Info recibida'!BZ30/550</f>
        <v>1893454.5454545454</v>
      </c>
      <c r="BZ30" s="152">
        <f>+'Info recibida'!CA30/550</f>
        <v>1114363.6345454545</v>
      </c>
      <c r="CA30" s="152">
        <f>+'Info recibida'!CB30/550</f>
        <v>1396181.8181818181</v>
      </c>
      <c r="CB30" s="152">
        <f>+'Info recibida'!CC30/550</f>
        <v>1695090.9090909092</v>
      </c>
      <c r="CC30" s="152">
        <f>+'Info recibida'!CD30/550</f>
        <v>1480909.0909090908</v>
      </c>
      <c r="CD30" s="152">
        <f>+'Info recibida'!CE30/550</f>
        <v>1416363.6363636365</v>
      </c>
      <c r="CE30" s="152">
        <f>+'Info recibida'!CF30/550</f>
        <v>1658181.8181818181</v>
      </c>
      <c r="CF30" s="487">
        <f>+'Info recibida'!CG30/550</f>
        <v>2080000.0018181817</v>
      </c>
      <c r="CG30" s="156">
        <f t="shared" si="11"/>
        <v>15840727.272727273</v>
      </c>
      <c r="CH30" s="157">
        <f>+'Info recibida'!CH30/550</f>
        <v>-51818.181818181816</v>
      </c>
      <c r="CI30" s="152">
        <f>+'Info recibida'!CI30/550</f>
        <v>497272.72727272729</v>
      </c>
      <c r="CJ30" s="152">
        <f>+'Info recibida'!CJ30/550</f>
        <v>260909.08909090908</v>
      </c>
      <c r="CK30" s="152">
        <f>+'Info recibida'!CK30/550</f>
        <v>515454.54545454547</v>
      </c>
      <c r="CL30" s="152">
        <f>+'Info recibida'!CL30/550</f>
        <v>708181.81818181823</v>
      </c>
      <c r="CM30" s="152">
        <f>+'Info recibida'!CM30/550</f>
        <v>533636.36363636365</v>
      </c>
      <c r="CN30" s="152">
        <f>+'Info recibida'!CN30/550</f>
        <v>253636.36363636365</v>
      </c>
      <c r="CO30" s="152">
        <f>+'Info recibida'!CO30/550</f>
        <v>520909.09090909088</v>
      </c>
      <c r="CP30" s="152">
        <f>+'Info recibida'!CP30/550</f>
        <v>751818.1836363636</v>
      </c>
      <c r="CQ30" s="156">
        <f>+'Info recibida'!CQ30/550</f>
        <v>3990000</v>
      </c>
      <c r="CR30" s="158"/>
      <c r="CS30" s="160">
        <f>SUM(CS31)</f>
        <v>100000</v>
      </c>
      <c r="CT30" s="145"/>
      <c r="CU30" s="145"/>
      <c r="CV30" s="145"/>
      <c r="CW30" s="145"/>
      <c r="CX30" s="145"/>
      <c r="CY30" s="161">
        <f>+'Info recibida'!CY30/550</f>
        <v>3890000</v>
      </c>
      <c r="CZ30" s="151"/>
      <c r="DA30" s="512"/>
    </row>
    <row r="31" spans="2:105" ht="26.1" customHeight="1" x14ac:dyDescent="0.25">
      <c r="B31" s="237" t="s">
        <v>28</v>
      </c>
      <c r="C31" s="275" t="s">
        <v>357</v>
      </c>
      <c r="D31" s="47" t="s">
        <v>4</v>
      </c>
      <c r="E31" s="48" t="s">
        <v>409</v>
      </c>
      <c r="F31" s="48" t="s">
        <v>25</v>
      </c>
      <c r="G31" s="48" t="s">
        <v>107</v>
      </c>
      <c r="H31" s="49" t="s">
        <v>217</v>
      </c>
      <c r="I31" s="49" t="s">
        <v>229</v>
      </c>
      <c r="J31" s="206"/>
      <c r="K31" s="207"/>
      <c r="L31" s="208"/>
      <c r="N31" s="237" t="s">
        <v>28</v>
      </c>
      <c r="O31" s="47" t="s">
        <v>4</v>
      </c>
      <c r="P31" s="48" t="s">
        <v>409</v>
      </c>
      <c r="Q31" s="48" t="s">
        <v>314</v>
      </c>
      <c r="R31" s="48" t="s">
        <v>314</v>
      </c>
      <c r="S31" s="48"/>
      <c r="T31" s="48" t="s">
        <v>314</v>
      </c>
      <c r="U31" s="48"/>
      <c r="V31" s="48"/>
      <c r="W31" s="48" t="s">
        <v>307</v>
      </c>
      <c r="X31" s="48"/>
      <c r="Y31" s="48"/>
      <c r="Z31" s="48"/>
      <c r="AA31" s="48"/>
      <c r="AB31" s="48" t="s">
        <v>314</v>
      </c>
      <c r="AC31" s="48"/>
      <c r="AD31" s="48" t="s">
        <v>314</v>
      </c>
      <c r="AE31" s="208"/>
      <c r="AF31" s="47" t="s">
        <v>315</v>
      </c>
      <c r="AG31" s="266" t="s">
        <v>319</v>
      </c>
      <c r="AH31" s="101" t="s">
        <v>419</v>
      </c>
      <c r="AI31" s="48"/>
      <c r="AJ31" s="215">
        <v>0.7</v>
      </c>
      <c r="AK31" s="215">
        <v>0.7</v>
      </c>
      <c r="AL31" s="215">
        <v>0.7</v>
      </c>
      <c r="AM31" s="215">
        <v>0.7</v>
      </c>
      <c r="AN31" s="215">
        <v>0.7</v>
      </c>
      <c r="AO31" s="215">
        <v>0.7</v>
      </c>
      <c r="AP31" s="215">
        <v>0.7</v>
      </c>
      <c r="AQ31" s="215">
        <v>0.7</v>
      </c>
      <c r="AR31" s="215">
        <v>0.7</v>
      </c>
      <c r="AS31" s="48"/>
      <c r="AT31" s="48"/>
      <c r="AU31" s="215">
        <v>0.9</v>
      </c>
      <c r="AV31" s="215">
        <v>0.9</v>
      </c>
      <c r="AW31" s="215">
        <v>0.9</v>
      </c>
      <c r="AX31" s="215">
        <v>0.9</v>
      </c>
      <c r="AY31" s="215">
        <v>0.9</v>
      </c>
      <c r="AZ31" s="215">
        <v>0.9</v>
      </c>
      <c r="BA31" s="215">
        <v>0.9</v>
      </c>
      <c r="BB31" s="215">
        <v>0.9</v>
      </c>
      <c r="BC31" s="215">
        <v>0.9</v>
      </c>
      <c r="BD31" s="48"/>
      <c r="BE31" s="94"/>
      <c r="BF31" s="268" t="s">
        <v>4</v>
      </c>
      <c r="BG31" s="68" t="s">
        <v>349</v>
      </c>
      <c r="BH31" s="48" t="s">
        <v>323</v>
      </c>
      <c r="BI31" s="211">
        <f>+'Info recibida'!BJ31/550</f>
        <v>0</v>
      </c>
      <c r="BJ31" s="170">
        <f>+'Info recibida'!BK31/550</f>
        <v>3158000</v>
      </c>
      <c r="BK31" s="170">
        <f>+'Info recibida'!BL31/550</f>
        <v>1396181.8181818181</v>
      </c>
      <c r="BL31" s="170">
        <f>+'Info recibida'!BM31/550</f>
        <v>853454.54545454541</v>
      </c>
      <c r="BM31" s="170">
        <f>+'Info recibida'!BN31/550</f>
        <v>880727.27272727271</v>
      </c>
      <c r="BN31" s="170">
        <f>+'Info recibida'!BO31/550</f>
        <v>986909.09090909094</v>
      </c>
      <c r="BO31" s="170">
        <f>+'Info recibida'!BP31/550</f>
        <v>947272.72727272729</v>
      </c>
      <c r="BP31" s="170">
        <f>+'Info recibida'!BQ31/550</f>
        <v>1162727.2727272727</v>
      </c>
      <c r="BQ31" s="170">
        <f>+'Info recibida'!BR31/550</f>
        <v>1137272.7272727273</v>
      </c>
      <c r="BR31" s="170">
        <f>+'Info recibida'!BS31/550</f>
        <v>1328181.8181818181</v>
      </c>
      <c r="BS31" s="170">
        <f>+'Info recibida'!BT31/550</f>
        <v>11850727.272727273</v>
      </c>
      <c r="BT31" s="308">
        <v>1</v>
      </c>
      <c r="BU31" s="48"/>
      <c r="BV31" s="48"/>
      <c r="BW31" s="243"/>
      <c r="BX31" s="212">
        <f>+'Info recibida'!BY31/550</f>
        <v>3106181.8181818184</v>
      </c>
      <c r="BY31" s="170">
        <f>+'Info recibida'!BZ31/550</f>
        <v>1893454.5454545454</v>
      </c>
      <c r="BZ31" s="170">
        <f>+'Info recibida'!CA31/550</f>
        <v>1114363.6345454545</v>
      </c>
      <c r="CA31" s="170">
        <f>+'Info recibida'!CB31/550</f>
        <v>1396181.8181818181</v>
      </c>
      <c r="CB31" s="170">
        <f>+'Info recibida'!CC31/550</f>
        <v>1695090.9090909092</v>
      </c>
      <c r="CC31" s="170">
        <f>+'Info recibida'!CD31/550</f>
        <v>1480909.0909090908</v>
      </c>
      <c r="CD31" s="170">
        <f>+'Info recibida'!CE31/550</f>
        <v>1416363.6363636365</v>
      </c>
      <c r="CE31" s="170">
        <f>+'Info recibida'!CF31/550</f>
        <v>1658181.8181818181</v>
      </c>
      <c r="CF31" s="218">
        <f>+'Info recibida'!CG31/550</f>
        <v>2080000.0018181817</v>
      </c>
      <c r="CG31" s="213">
        <f t="shared" si="11"/>
        <v>15840727.272727273</v>
      </c>
      <c r="CH31" s="212">
        <f>+'Info recibida'!CH31/550</f>
        <v>-51818.181818181816</v>
      </c>
      <c r="CI31" s="170">
        <f>+'Info recibida'!CI31/550</f>
        <v>497272.72727272729</v>
      </c>
      <c r="CJ31" s="170">
        <f>+'Info recibida'!CJ31/550</f>
        <v>260909.08909090908</v>
      </c>
      <c r="CK31" s="170">
        <f>+'Info recibida'!CK31/550</f>
        <v>515454.54545454547</v>
      </c>
      <c r="CL31" s="170">
        <f>+'Info recibida'!CL31/550</f>
        <v>708181.81818181823</v>
      </c>
      <c r="CM31" s="170">
        <f>+'Info recibida'!CM31/550</f>
        <v>533636.36363636365</v>
      </c>
      <c r="CN31" s="170">
        <f>+'Info recibida'!CN31/550</f>
        <v>253636.36363636365</v>
      </c>
      <c r="CO31" s="170">
        <f>+'Info recibida'!CO31/550</f>
        <v>520909.09090909088</v>
      </c>
      <c r="CP31" s="170">
        <f>+'Info recibida'!CP31/550</f>
        <v>751818.1836363636</v>
      </c>
      <c r="CQ31" s="213">
        <f>+'Info recibida'!CQ31/550</f>
        <v>3990000</v>
      </c>
      <c r="CR31" s="70"/>
      <c r="CS31" s="220">
        <v>100000</v>
      </c>
      <c r="CT31" s="71" t="s">
        <v>326</v>
      </c>
      <c r="CU31" s="210"/>
      <c r="CV31" s="210"/>
      <c r="CW31" s="210"/>
      <c r="CX31" s="210"/>
      <c r="CY31" s="221">
        <f>+'Info recibida'!CY31/550</f>
        <v>3890000</v>
      </c>
      <c r="CZ31" s="222"/>
      <c r="DA31" s="512">
        <f t="shared" si="12"/>
        <v>0.15373844755447019</v>
      </c>
    </row>
    <row r="32" spans="2:105" ht="26.1" customHeight="1" x14ac:dyDescent="0.25">
      <c r="B32" s="143" t="s">
        <v>29</v>
      </c>
      <c r="C32" s="144" t="s">
        <v>357</v>
      </c>
      <c r="D32" s="59" t="s">
        <v>4</v>
      </c>
      <c r="E32" s="145"/>
      <c r="F32" s="60"/>
      <c r="G32" s="61"/>
      <c r="H32" s="62"/>
      <c r="I32" s="62"/>
      <c r="J32" s="147" t="s">
        <v>256</v>
      </c>
      <c r="K32" s="148" t="s">
        <v>258</v>
      </c>
      <c r="L32" s="149"/>
      <c r="N32" s="143" t="s">
        <v>29</v>
      </c>
      <c r="O32" s="150"/>
      <c r="P32" s="145"/>
      <c r="Q32" s="145"/>
      <c r="R32" s="145"/>
      <c r="S32" s="145"/>
      <c r="T32" s="145"/>
      <c r="U32" s="145"/>
      <c r="V32" s="145"/>
      <c r="W32" s="145"/>
      <c r="X32" s="145"/>
      <c r="Y32" s="145"/>
      <c r="Z32" s="145"/>
      <c r="AA32" s="145"/>
      <c r="AB32" s="145"/>
      <c r="AC32" s="145"/>
      <c r="AD32" s="145"/>
      <c r="AE32" s="151"/>
      <c r="AF32" s="150"/>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51"/>
      <c r="BF32" s="150"/>
      <c r="BG32" s="154" t="s">
        <v>357</v>
      </c>
      <c r="BH32" s="155"/>
      <c r="BI32" s="487">
        <f>+'Info recibida'!BJ32/550</f>
        <v>6256636.3702000007</v>
      </c>
      <c r="BJ32" s="152">
        <f>+'Info recibida'!BK32/550</f>
        <v>7326190.9727454549</v>
      </c>
      <c r="BK32" s="152">
        <f>+'Info recibida'!BL32/550</f>
        <v>7573550.3395645451</v>
      </c>
      <c r="BL32" s="152">
        <f>+'Info recibida'!BM32/550</f>
        <v>7861854.511088226</v>
      </c>
      <c r="BM32" s="152">
        <f>+'Info recibida'!BN32/550</f>
        <v>8164514.3639153652</v>
      </c>
      <c r="BN32" s="152">
        <f>+'Info recibida'!BO32/550</f>
        <v>8482247.6821111329</v>
      </c>
      <c r="BO32" s="152">
        <f>+'Info recibida'!BP32/550</f>
        <v>8849899.0480348729</v>
      </c>
      <c r="BP32" s="152">
        <f>+'Info recibida'!BQ32/550</f>
        <v>9165987.091345707</v>
      </c>
      <c r="BQ32" s="152">
        <f>+'Info recibida'!BR32/550</f>
        <v>9533615.4640948102</v>
      </c>
      <c r="BR32" s="152">
        <f>+'Info recibida'!BS32/550</f>
        <v>9919565.7282086425</v>
      </c>
      <c r="BS32" s="152">
        <f>+'Info recibida'!BT32/550</f>
        <v>76877425.201108769</v>
      </c>
      <c r="BT32" s="145"/>
      <c r="BU32" s="145"/>
      <c r="BV32" s="145"/>
      <c r="BW32" s="159"/>
      <c r="BX32" s="157">
        <f>+'Info recibida'!BY32/550</f>
        <v>7887900.9791109087</v>
      </c>
      <c r="BY32" s="152">
        <f>+'Info recibida'!BZ32/550</f>
        <v>8442369.5074028187</v>
      </c>
      <c r="BZ32" s="152">
        <f>+'Info recibida'!CA32/550</f>
        <v>9096820.4282247778</v>
      </c>
      <c r="CA32" s="152">
        <f>+'Info recibida'!CB32/550</f>
        <v>9816206.137451198</v>
      </c>
      <c r="CB32" s="152">
        <f>+'Info recibida'!CC32/550</f>
        <v>10606973.168920457</v>
      </c>
      <c r="CC32" s="152">
        <f>+'Info recibida'!CD32/550</f>
        <v>11527347.916786488</v>
      </c>
      <c r="CD32" s="152">
        <f>+'Info recibida'!CE32/550</f>
        <v>12431719.109169638</v>
      </c>
      <c r="CE32" s="152">
        <f>+'Info recibida'!CF32/550</f>
        <v>13482072.162644509</v>
      </c>
      <c r="CF32" s="487">
        <f>+'Info recibida'!CG32/550</f>
        <v>14636703.332776582</v>
      </c>
      <c r="CG32" s="156">
        <f t="shared" si="11"/>
        <v>97928112.742487371</v>
      </c>
      <c r="CH32" s="157">
        <f>+'Info recibida'!CH32/550</f>
        <v>561710.00636545417</v>
      </c>
      <c r="CI32" s="152">
        <f>+'Info recibida'!CI32/550</f>
        <v>868819.16783827252</v>
      </c>
      <c r="CJ32" s="152">
        <f>+'Info recibida'!CJ32/550</f>
        <v>1234965.9171365504</v>
      </c>
      <c r="CK32" s="152">
        <f>+'Info recibida'!CK32/550</f>
        <v>1651691.773535833</v>
      </c>
      <c r="CL32" s="152">
        <f>+'Info recibida'!CL32/550</f>
        <v>2124725.4868093249</v>
      </c>
      <c r="CM32" s="152">
        <f>+'Info recibida'!CM32/550</f>
        <v>2677448.8687516162</v>
      </c>
      <c r="CN32" s="152">
        <f>+'Info recibida'!CN32/550</f>
        <v>3265732.0178239313</v>
      </c>
      <c r="CO32" s="152">
        <f>+'Info recibida'!CO32/550</f>
        <v>3948456.698549699</v>
      </c>
      <c r="CP32" s="152">
        <f>+'Info recibida'!CP32/550</f>
        <v>4717137.6045679385</v>
      </c>
      <c r="CQ32" s="156">
        <f>+'Info recibida'!CQ32/550</f>
        <v>21050687.541378617</v>
      </c>
      <c r="CR32" s="158"/>
      <c r="CS32" s="160">
        <f>SUM(CS33:CS35)</f>
        <v>90000</v>
      </c>
      <c r="CT32" s="145"/>
      <c r="CU32" s="145"/>
      <c r="CV32" s="145"/>
      <c r="CW32" s="145"/>
      <c r="CX32" s="145"/>
      <c r="CY32" s="152">
        <f>+'Info recibida'!CY32/550</f>
        <v>20960687.541378617</v>
      </c>
      <c r="CZ32" s="151"/>
      <c r="DA32" s="512"/>
    </row>
    <row r="33" spans="2:105" ht="79.5" customHeight="1" x14ac:dyDescent="0.25">
      <c r="B33" s="204" t="s">
        <v>30</v>
      </c>
      <c r="C33" s="205" t="s">
        <v>357</v>
      </c>
      <c r="D33" s="47" t="s">
        <v>4</v>
      </c>
      <c r="E33" s="48" t="s">
        <v>407</v>
      </c>
      <c r="F33" s="48" t="s">
        <v>395</v>
      </c>
      <c r="G33" s="50" t="s">
        <v>108</v>
      </c>
      <c r="H33" s="49"/>
      <c r="I33" s="49" t="s">
        <v>229</v>
      </c>
      <c r="J33" s="206"/>
      <c r="K33" s="207"/>
      <c r="L33" s="208"/>
      <c r="N33" s="204" t="s">
        <v>365</v>
      </c>
      <c r="O33" s="47" t="s">
        <v>4</v>
      </c>
      <c r="P33" s="48" t="s">
        <v>407</v>
      </c>
      <c r="Q33" s="50" t="s">
        <v>314</v>
      </c>
      <c r="R33" s="48" t="s">
        <v>314</v>
      </c>
      <c r="S33" s="48" t="s">
        <v>314</v>
      </c>
      <c r="T33" s="48" t="s">
        <v>314</v>
      </c>
      <c r="U33" s="48" t="s">
        <v>314</v>
      </c>
      <c r="V33" s="50"/>
      <c r="W33" s="50" t="s">
        <v>307</v>
      </c>
      <c r="X33" s="50"/>
      <c r="Y33" s="50"/>
      <c r="Z33" s="50"/>
      <c r="AA33" s="50"/>
      <c r="AB33" s="50"/>
      <c r="AC33" s="50"/>
      <c r="AD33" s="50"/>
      <c r="AE33" s="259"/>
      <c r="AF33" s="47" t="s">
        <v>362</v>
      </c>
      <c r="AG33" s="210" t="s">
        <v>319</v>
      </c>
      <c r="AH33" s="68" t="s">
        <v>371</v>
      </c>
      <c r="AI33" s="48">
        <v>30</v>
      </c>
      <c r="AJ33" s="48">
        <v>25</v>
      </c>
      <c r="AK33" s="48">
        <v>25</v>
      </c>
      <c r="AL33" s="48">
        <v>25</v>
      </c>
      <c r="AM33" s="48">
        <v>25</v>
      </c>
      <c r="AN33" s="48">
        <v>25</v>
      </c>
      <c r="AO33" s="48">
        <v>25</v>
      </c>
      <c r="AP33" s="48">
        <v>25</v>
      </c>
      <c r="AQ33" s="48">
        <v>25</v>
      </c>
      <c r="AR33" s="48">
        <v>25</v>
      </c>
      <c r="AS33" s="48">
        <v>25</v>
      </c>
      <c r="AT33" s="48">
        <v>25</v>
      </c>
      <c r="AU33" s="48">
        <v>25</v>
      </c>
      <c r="AV33" s="48">
        <v>23</v>
      </c>
      <c r="AW33" s="48">
        <v>21</v>
      </c>
      <c r="AX33" s="48">
        <v>20</v>
      </c>
      <c r="AY33" s="48">
        <v>18</v>
      </c>
      <c r="AZ33" s="48">
        <v>17</v>
      </c>
      <c r="BA33" s="48">
        <v>15</v>
      </c>
      <c r="BB33" s="48">
        <v>15</v>
      </c>
      <c r="BC33" s="48">
        <v>15</v>
      </c>
      <c r="BD33" s="48">
        <v>15</v>
      </c>
      <c r="BE33" s="94">
        <v>15</v>
      </c>
      <c r="BF33" s="206" t="s">
        <v>330</v>
      </c>
      <c r="BG33" s="68" t="s">
        <v>349</v>
      </c>
      <c r="BH33" s="48" t="s">
        <v>323</v>
      </c>
      <c r="BI33" s="252">
        <f>+'Info recibida'!BJ33/550</f>
        <v>4278218.4101818176</v>
      </c>
      <c r="BJ33" s="170">
        <f>+'Info recibida'!BK33/550</f>
        <v>5347773.0127272727</v>
      </c>
      <c r="BK33" s="170">
        <f>+'Info recibida'!BL33/550</f>
        <v>5587120.5724545456</v>
      </c>
      <c r="BL33" s="170">
        <f>+'Info recibida'!BM33/550</f>
        <v>5867012.3465318177</v>
      </c>
      <c r="BM33" s="170">
        <f>+'Info recibida'!BN33/550</f>
        <v>6160839.1820402266</v>
      </c>
      <c r="BN33" s="170">
        <f>+'Info recibida'!BO33/550</f>
        <v>6469297.8320513293</v>
      </c>
      <c r="BO33" s="170">
        <f>+'Info recibida'!BP33/550</f>
        <v>6827210.7963811681</v>
      </c>
      <c r="BP33" s="170">
        <f>+'Info recibida'!BQ33/550</f>
        <v>7133073.5180184087</v>
      </c>
      <c r="BQ33" s="170">
        <f>+'Info recibida'!BR33/550</f>
        <v>7489965.3030102383</v>
      </c>
      <c r="BR33" s="170">
        <f>+'Info recibida'!BS33/550</f>
        <v>7864642.1499789329</v>
      </c>
      <c r="BS33" s="170">
        <f>+'Info recibida'!BT33/550</f>
        <v>58746934.713193946</v>
      </c>
      <c r="BT33" s="277">
        <v>0.9</v>
      </c>
      <c r="BU33" s="170"/>
      <c r="BV33" s="277">
        <v>0.1</v>
      </c>
      <c r="BW33" s="213"/>
      <c r="BX33" s="212">
        <f>+'Info recibida'!BY33/550</f>
        <v>5893459.4049090901</v>
      </c>
      <c r="BY33" s="170">
        <f>+'Info recibida'!BZ33/550</f>
        <v>6439114.9453999996</v>
      </c>
      <c r="BZ33" s="170">
        <f>+'Info recibida'!CA33/550</f>
        <v>7084312.229030909</v>
      </c>
      <c r="CA33" s="170">
        <f>+'Info recibida'!CB33/550</f>
        <v>7793981.6192067275</v>
      </c>
      <c r="CB33" s="170">
        <f>+'Info recibida'!CC33/550</f>
        <v>8574546.5156728551</v>
      </c>
      <c r="CC33" s="170">
        <f>+'Info recibida'!CD33/550</f>
        <v>9484209.0217855964</v>
      </c>
      <c r="CD33" s="170">
        <f>+'Info recibida'!CE33/550</f>
        <v>10377332.360327791</v>
      </c>
      <c r="CE33" s="170">
        <f>+'Info recibida'!CF33/550</f>
        <v>11415875.167269662</v>
      </c>
      <c r="CF33" s="218">
        <f>+'Info recibida'!CG33/550</f>
        <v>12558105.578542082</v>
      </c>
      <c r="CG33" s="213">
        <f t="shared" si="11"/>
        <v>79620936.842144713</v>
      </c>
      <c r="CH33" s="212">
        <f>+'Info recibida'!CH33/550</f>
        <v>545686.39218181779</v>
      </c>
      <c r="CI33" s="170">
        <f>+'Info recibida'!CI33/550</f>
        <v>851994.37294545432</v>
      </c>
      <c r="CJ33" s="170">
        <f>+'Info recibida'!CJ33/550</f>
        <v>1217299.8824990913</v>
      </c>
      <c r="CK33" s="170">
        <f>+'Info recibida'!CK33/550</f>
        <v>1633142.4371665011</v>
      </c>
      <c r="CL33" s="170">
        <f>+'Info recibida'!CL33/550</f>
        <v>2105248.6836215262</v>
      </c>
      <c r="CM33" s="170">
        <f>+'Info recibida'!CM33/550</f>
        <v>2656998.2254044274</v>
      </c>
      <c r="CN33" s="170">
        <f>+'Info recibida'!CN33/550</f>
        <v>3244258.8423093832</v>
      </c>
      <c r="CO33" s="170">
        <f>+'Info recibida'!CO33/550</f>
        <v>3925909.8642594232</v>
      </c>
      <c r="CP33" s="170">
        <f>+'Info recibida'!CP33/550</f>
        <v>4693463.4285631496</v>
      </c>
      <c r="CQ33" s="213">
        <f>+'Info recibida'!CQ33/550</f>
        <v>20874002.128950771</v>
      </c>
      <c r="CR33" s="219"/>
      <c r="CS33" s="220">
        <v>15000</v>
      </c>
      <c r="CT33" s="220" t="s">
        <v>363</v>
      </c>
      <c r="CU33" s="210"/>
      <c r="CV33" s="210"/>
      <c r="CW33" s="210"/>
      <c r="CX33" s="210"/>
      <c r="CY33" s="221">
        <f>+'Info recibida'!CY33/550</f>
        <v>20859002.128950771</v>
      </c>
      <c r="CZ33" s="222"/>
      <c r="DA33" s="512">
        <f t="shared" si="12"/>
        <v>0.80429490765754319</v>
      </c>
    </row>
    <row r="34" spans="2:105" ht="25.5" customHeight="1" thickBot="1" x14ac:dyDescent="0.3">
      <c r="B34" s="163" t="s">
        <v>31</v>
      </c>
      <c r="C34" s="164" t="s">
        <v>357</v>
      </c>
      <c r="D34" s="74" t="s">
        <v>4</v>
      </c>
      <c r="E34" s="48" t="s">
        <v>407</v>
      </c>
      <c r="F34" s="75" t="s">
        <v>395</v>
      </c>
      <c r="G34" s="90" t="s">
        <v>109</v>
      </c>
      <c r="H34" s="49"/>
      <c r="I34" s="49" t="s">
        <v>229</v>
      </c>
      <c r="J34" s="206"/>
      <c r="K34" s="207"/>
      <c r="L34" s="208"/>
      <c r="N34" s="204" t="s">
        <v>366</v>
      </c>
      <c r="O34" s="47" t="s">
        <v>4</v>
      </c>
      <c r="P34" s="48" t="s">
        <v>407</v>
      </c>
      <c r="Q34" s="50" t="s">
        <v>314</v>
      </c>
      <c r="R34" s="50" t="s">
        <v>314</v>
      </c>
      <c r="S34" s="50"/>
      <c r="T34" s="50" t="s">
        <v>314</v>
      </c>
      <c r="U34" s="50"/>
      <c r="V34" s="50" t="s">
        <v>314</v>
      </c>
      <c r="W34" s="50" t="s">
        <v>307</v>
      </c>
      <c r="X34" s="50"/>
      <c r="Y34" s="50"/>
      <c r="Z34" s="50"/>
      <c r="AA34" s="50"/>
      <c r="AB34" s="50"/>
      <c r="AC34" s="50"/>
      <c r="AD34" s="50"/>
      <c r="AE34" s="259"/>
      <c r="AF34" s="47" t="s">
        <v>315</v>
      </c>
      <c r="AG34" s="210" t="s">
        <v>319</v>
      </c>
      <c r="AH34" s="68" t="s">
        <v>372</v>
      </c>
      <c r="AI34" s="48">
        <v>60</v>
      </c>
      <c r="AJ34" s="48">
        <v>70</v>
      </c>
      <c r="AK34" s="48">
        <v>70</v>
      </c>
      <c r="AL34" s="48">
        <v>70</v>
      </c>
      <c r="AM34" s="48">
        <v>75</v>
      </c>
      <c r="AN34" s="48">
        <v>75</v>
      </c>
      <c r="AO34" s="48">
        <v>75</v>
      </c>
      <c r="AP34" s="48">
        <v>75</v>
      </c>
      <c r="AQ34" s="48">
        <v>80</v>
      </c>
      <c r="AR34" s="48">
        <v>80</v>
      </c>
      <c r="AS34" s="48">
        <v>80</v>
      </c>
      <c r="AT34" s="48">
        <v>80</v>
      </c>
      <c r="AU34" s="48">
        <v>80</v>
      </c>
      <c r="AV34" s="48">
        <v>90</v>
      </c>
      <c r="AW34" s="48">
        <v>90</v>
      </c>
      <c r="AX34" s="48">
        <v>90</v>
      </c>
      <c r="AY34" s="48">
        <v>90</v>
      </c>
      <c r="AZ34" s="48">
        <v>90</v>
      </c>
      <c r="BA34" s="48">
        <v>90</v>
      </c>
      <c r="BB34" s="48">
        <v>90</v>
      </c>
      <c r="BC34" s="48">
        <v>90</v>
      </c>
      <c r="BD34" s="48">
        <v>90</v>
      </c>
      <c r="BE34" s="94">
        <v>90</v>
      </c>
      <c r="BF34" s="206" t="s">
        <v>330</v>
      </c>
      <c r="BG34" s="68" t="s">
        <v>349</v>
      </c>
      <c r="BH34" s="48" t="s">
        <v>323</v>
      </c>
      <c r="BI34" s="252">
        <f>+'Info recibida'!BJ34/550</f>
        <v>160236.14183636365</v>
      </c>
      <c r="BJ34" s="170">
        <f>+'Info recibida'!BK34/550</f>
        <v>160236.14183636365</v>
      </c>
      <c r="BK34" s="170">
        <f>+'Info recibida'!BL34/550</f>
        <v>168247.94892818184</v>
      </c>
      <c r="BL34" s="170">
        <f>+'Info recibida'!BM34/550</f>
        <v>176660.34637459091</v>
      </c>
      <c r="BM34" s="170">
        <f>+'Info recibida'!BN34/550</f>
        <v>185493.36369332045</v>
      </c>
      <c r="BN34" s="170">
        <f>+'Info recibida'!BO34/550</f>
        <v>194768.03187798648</v>
      </c>
      <c r="BO34" s="170">
        <f>+'Info recibida'!BP34/550</f>
        <v>204506.43347188577</v>
      </c>
      <c r="BP34" s="170">
        <f>+'Info recibida'!BQ34/550</f>
        <v>214731.75514548007</v>
      </c>
      <c r="BQ34" s="170">
        <f>+'Info recibida'!BR34/550</f>
        <v>225468.34290275406</v>
      </c>
      <c r="BR34" s="170">
        <f>+'Info recibida'!BS34/550</f>
        <v>236741.76004789176</v>
      </c>
      <c r="BS34" s="170">
        <f>+'Info recibida'!BT34/550</f>
        <v>1766854.1242784548</v>
      </c>
      <c r="BT34" s="170">
        <v>0</v>
      </c>
      <c r="BU34" s="170"/>
      <c r="BV34" s="277">
        <v>1</v>
      </c>
      <c r="BW34" s="213"/>
      <c r="BX34" s="212">
        <f>+'Info recibida'!BY34/550</f>
        <v>176259.75602</v>
      </c>
      <c r="BY34" s="170">
        <f>+'Info recibida'!BZ34/550</f>
        <v>185072.74382100001</v>
      </c>
      <c r="BZ34" s="170">
        <f>+'Info recibida'!CA34/550</f>
        <v>194326.38101205</v>
      </c>
      <c r="CA34" s="170">
        <f>+'Info recibida'!CB34/550</f>
        <v>204042.7000626525</v>
      </c>
      <c r="CB34" s="170">
        <f>+'Info recibida'!CC34/550</f>
        <v>214244.8350657851</v>
      </c>
      <c r="CC34" s="170">
        <f>+'Info recibida'!CD34/550</f>
        <v>224957.07681907437</v>
      </c>
      <c r="CD34" s="170">
        <f>+'Info recibida'!CE34/550</f>
        <v>236204.93066002807</v>
      </c>
      <c r="CE34" s="170">
        <f>+'Info recibida'!CF34/550</f>
        <v>248015.17719302946</v>
      </c>
      <c r="CF34" s="218">
        <f>+'Info recibida'!CG34/550</f>
        <v>260415.93605268095</v>
      </c>
      <c r="CG34" s="213">
        <f t="shared" si="11"/>
        <v>1943539.5367063005</v>
      </c>
      <c r="CH34" s="212">
        <f>+'Info recibida'!CH34/550</f>
        <v>16023.614183636362</v>
      </c>
      <c r="CI34" s="170">
        <f>+'Info recibida'!CI34/550</f>
        <v>16824.794892818198</v>
      </c>
      <c r="CJ34" s="170">
        <f>+'Info recibida'!CJ34/550</f>
        <v>17666.034637459084</v>
      </c>
      <c r="CK34" s="170">
        <f>+'Info recibida'!CK34/550</f>
        <v>18549.33636933205</v>
      </c>
      <c r="CL34" s="170">
        <f>+'Info recibida'!CL34/550</f>
        <v>19476.80318779864</v>
      </c>
      <c r="CM34" s="170">
        <f>+'Info recibida'!CM34/550</f>
        <v>20450.643347188587</v>
      </c>
      <c r="CN34" s="170">
        <f>+'Info recibida'!CN34/550</f>
        <v>21473.175514548013</v>
      </c>
      <c r="CO34" s="170">
        <f>+'Info recibida'!CO34/550</f>
        <v>22546.834290275412</v>
      </c>
      <c r="CP34" s="170">
        <f>+'Info recibida'!CP34/550</f>
        <v>23674.176004789173</v>
      </c>
      <c r="CQ34" s="213">
        <f>+'Info recibida'!CQ34/550</f>
        <v>176685.41242784553</v>
      </c>
      <c r="CR34" s="219"/>
      <c r="CS34" s="220">
        <v>75000</v>
      </c>
      <c r="CT34" s="220" t="s">
        <v>364</v>
      </c>
      <c r="CU34" s="210"/>
      <c r="CV34" s="210"/>
      <c r="CW34" s="210"/>
      <c r="CX34" s="210"/>
      <c r="CY34" s="221">
        <f>+'Info recibida'!CY34/550</f>
        <v>101685.41242784551</v>
      </c>
      <c r="CZ34" s="222"/>
      <c r="DA34" s="512">
        <f t="shared" si="12"/>
        <v>6.8078548902702424E-3</v>
      </c>
    </row>
    <row r="35" spans="2:105" ht="25.5" customHeight="1" x14ac:dyDescent="0.25">
      <c r="B35" s="279" t="s">
        <v>98</v>
      </c>
      <c r="C35" s="280" t="s">
        <v>355</v>
      </c>
      <c r="D35" s="47" t="s">
        <v>4</v>
      </c>
      <c r="E35" s="48" t="s">
        <v>406</v>
      </c>
      <c r="F35" s="48" t="s">
        <v>63</v>
      </c>
      <c r="G35" s="48" t="s">
        <v>140</v>
      </c>
      <c r="H35" s="91" t="s">
        <v>245</v>
      </c>
      <c r="I35" s="52" t="s">
        <v>236</v>
      </c>
      <c r="J35" s="281" t="s">
        <v>258</v>
      </c>
      <c r="K35" s="282"/>
      <c r="L35" s="283"/>
      <c r="N35" s="279" t="s">
        <v>392</v>
      </c>
      <c r="O35" s="47" t="s">
        <v>4</v>
      </c>
      <c r="P35" s="48" t="s">
        <v>406</v>
      </c>
      <c r="Q35" s="48" t="s">
        <v>314</v>
      </c>
      <c r="R35" s="48"/>
      <c r="S35" s="48" t="s">
        <v>314</v>
      </c>
      <c r="T35" s="48"/>
      <c r="U35" s="48"/>
      <c r="V35" s="48"/>
      <c r="W35" s="48" t="s">
        <v>307</v>
      </c>
      <c r="X35" s="48"/>
      <c r="Y35" s="48"/>
      <c r="Z35" s="48"/>
      <c r="AA35" s="48"/>
      <c r="AB35" s="48"/>
      <c r="AC35" s="48"/>
      <c r="AD35" s="48"/>
      <c r="AE35" s="209"/>
      <c r="AF35" s="47" t="s">
        <v>315</v>
      </c>
      <c r="AG35" s="210" t="s">
        <v>309</v>
      </c>
      <c r="AH35" s="267" t="s">
        <v>384</v>
      </c>
      <c r="AI35" s="170">
        <v>1000000000</v>
      </c>
      <c r="AJ35" s="284">
        <v>0</v>
      </c>
      <c r="AK35" s="284">
        <v>0</v>
      </c>
      <c r="AL35" s="284">
        <v>0</v>
      </c>
      <c r="AM35" s="284">
        <v>0</v>
      </c>
      <c r="AN35" s="284">
        <v>0</v>
      </c>
      <c r="AO35" s="284">
        <v>0</v>
      </c>
      <c r="AP35" s="284">
        <v>0</v>
      </c>
      <c r="AQ35" s="284">
        <v>0</v>
      </c>
      <c r="AR35" s="284">
        <v>0</v>
      </c>
      <c r="AS35" s="284"/>
      <c r="AT35" s="284"/>
      <c r="AU35" s="284">
        <v>0</v>
      </c>
      <c r="AV35" s="284">
        <v>0</v>
      </c>
      <c r="AW35" s="284">
        <v>0</v>
      </c>
      <c r="AX35" s="284">
        <v>0</v>
      </c>
      <c r="AY35" s="284">
        <v>0</v>
      </c>
      <c r="AZ35" s="284">
        <v>0</v>
      </c>
      <c r="BA35" s="284">
        <v>0</v>
      </c>
      <c r="BB35" s="284">
        <v>0</v>
      </c>
      <c r="BC35" s="284">
        <v>0</v>
      </c>
      <c r="BD35" s="284"/>
      <c r="BE35" s="284"/>
      <c r="BF35" s="206" t="s">
        <v>4</v>
      </c>
      <c r="BG35" s="257" t="s">
        <v>312</v>
      </c>
      <c r="BH35" s="48" t="s">
        <v>323</v>
      </c>
      <c r="BI35" s="252">
        <f>+'Info recibida'!BJ35/550</f>
        <v>1818181.8181818181</v>
      </c>
      <c r="BJ35" s="170">
        <f>+'Info recibida'!BK35/550</f>
        <v>1818181.8181818181</v>
      </c>
      <c r="BK35" s="170">
        <f>+'Info recibida'!BL35/550</f>
        <v>1818181.8181818181</v>
      </c>
      <c r="BL35" s="170">
        <f>+'Info recibida'!BM35/550</f>
        <v>1818181.8181818181</v>
      </c>
      <c r="BM35" s="170">
        <f>+'Info recibida'!BN35/550</f>
        <v>1818181.8181818181</v>
      </c>
      <c r="BN35" s="170">
        <f>+'Info recibida'!BO35/550</f>
        <v>1818181.8181818181</v>
      </c>
      <c r="BO35" s="170">
        <f>+'Info recibida'!BP35/550</f>
        <v>1818181.8181818181</v>
      </c>
      <c r="BP35" s="170">
        <f>+'Info recibida'!BQ35/550</f>
        <v>1818181.8181818181</v>
      </c>
      <c r="BQ35" s="170">
        <f>+'Info recibida'!BR35/550</f>
        <v>1818181.8181818181</v>
      </c>
      <c r="BR35" s="170">
        <f>+'Info recibida'!BS35/550</f>
        <v>1818181.8181818181</v>
      </c>
      <c r="BS35" s="170">
        <f>+'Info recibida'!BT35/550</f>
        <v>16363636.363636363</v>
      </c>
      <c r="BT35" s="504">
        <v>1</v>
      </c>
      <c r="BU35" s="48"/>
      <c r="BV35" s="48"/>
      <c r="BW35" s="243"/>
      <c r="BX35" s="212">
        <f>+'Info recibida'!BY35/550</f>
        <v>1818181.8181818181</v>
      </c>
      <c r="BY35" s="170">
        <f>+'Info recibida'!BZ35/550</f>
        <v>1818181.8181818181</v>
      </c>
      <c r="BZ35" s="170">
        <f>+'Info recibida'!CA35/550</f>
        <v>1818181.8181818181</v>
      </c>
      <c r="CA35" s="170">
        <f>+'Info recibida'!CB35/550</f>
        <v>1818181.8181818181</v>
      </c>
      <c r="CB35" s="170">
        <f>+'Info recibida'!CC35/550</f>
        <v>1818181.8181818181</v>
      </c>
      <c r="CC35" s="170">
        <f>+'Info recibida'!CD35/550</f>
        <v>1818181.8181818181</v>
      </c>
      <c r="CD35" s="170">
        <f>+'Info recibida'!CE35/550</f>
        <v>1818181.8181818181</v>
      </c>
      <c r="CE35" s="170">
        <f>+'Info recibida'!CF35/550</f>
        <v>1818181.8181818181</v>
      </c>
      <c r="CF35" s="218">
        <f>+'Info recibida'!CG35/550</f>
        <v>1818181.8181818181</v>
      </c>
      <c r="CG35" s="213">
        <f t="shared" si="11"/>
        <v>16363636.363636363</v>
      </c>
      <c r="CH35" s="217">
        <f>+'Info recibida'!CH35/550</f>
        <v>0</v>
      </c>
      <c r="CI35" s="217">
        <f>+'Info recibida'!CI35/550</f>
        <v>0</v>
      </c>
      <c r="CJ35" s="217">
        <f>+'Info recibida'!CJ35/550</f>
        <v>0</v>
      </c>
      <c r="CK35" s="217">
        <f>+'Info recibida'!CK35/550</f>
        <v>0</v>
      </c>
      <c r="CL35" s="217">
        <f>+'Info recibida'!CL35/550</f>
        <v>0</v>
      </c>
      <c r="CM35" s="217">
        <f>+'Info recibida'!CM35/550</f>
        <v>0</v>
      </c>
      <c r="CN35" s="217">
        <f>+'Info recibida'!CN35/550</f>
        <v>0</v>
      </c>
      <c r="CO35" s="217">
        <f>+'Info recibida'!CO35/550</f>
        <v>0</v>
      </c>
      <c r="CP35" s="217">
        <f>+'Info recibida'!CP35/550</f>
        <v>0</v>
      </c>
      <c r="CQ35" s="213">
        <f>+'Info recibida'!CQ35/550</f>
        <v>0</v>
      </c>
      <c r="CR35" s="70"/>
      <c r="CS35" s="71"/>
      <c r="CT35" s="71"/>
      <c r="CU35" s="210"/>
      <c r="CV35" s="210"/>
      <c r="CW35" s="210"/>
      <c r="CX35" s="210"/>
      <c r="CY35" s="221">
        <f>+'Info recibida'!CY35/550</f>
        <v>0</v>
      </c>
      <c r="CZ35" s="222"/>
      <c r="DA35" s="515">
        <f t="shared" si="12"/>
        <v>0</v>
      </c>
    </row>
    <row r="36" spans="2:105" ht="26.1" customHeight="1" x14ac:dyDescent="0.25">
      <c r="B36" s="98" t="s">
        <v>32</v>
      </c>
      <c r="C36" s="99"/>
      <c r="D36" s="55"/>
      <c r="E36" s="126"/>
      <c r="F36" s="56"/>
      <c r="G36" s="58"/>
      <c r="H36" s="57"/>
      <c r="I36" s="57"/>
      <c r="J36" s="128"/>
      <c r="K36" s="129"/>
      <c r="L36" s="130"/>
      <c r="N36" s="98" t="s">
        <v>32</v>
      </c>
      <c r="O36" s="131"/>
      <c r="P36" s="126"/>
      <c r="Q36" s="126"/>
      <c r="R36" s="126"/>
      <c r="S36" s="126"/>
      <c r="T36" s="126"/>
      <c r="U36" s="126"/>
      <c r="V36" s="126"/>
      <c r="W36" s="126"/>
      <c r="X36" s="126"/>
      <c r="Y36" s="126"/>
      <c r="Z36" s="126"/>
      <c r="AA36" s="126"/>
      <c r="AB36" s="126"/>
      <c r="AC36" s="126"/>
      <c r="AD36" s="126"/>
      <c r="AE36" s="132"/>
      <c r="AF36" s="131"/>
      <c r="AG36" s="126"/>
      <c r="AH36" s="126"/>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263"/>
      <c r="BF36" s="131"/>
      <c r="BG36" s="126"/>
      <c r="BH36" s="134"/>
      <c r="BI36" s="486">
        <f>+'Info recibida'!BJ36/550</f>
        <v>32115549.167063639</v>
      </c>
      <c r="BJ36" s="133">
        <f>+'Info recibida'!BK36/550</f>
        <v>33762999.561979473</v>
      </c>
      <c r="BK36" s="133">
        <f>+'Info recibida'!BL36/550</f>
        <v>45242141.523018196</v>
      </c>
      <c r="BL36" s="133">
        <f>+'Info recibida'!BM36/550</f>
        <v>36861485.346377693</v>
      </c>
      <c r="BM36" s="133">
        <f>+'Info recibida'!BN36/550</f>
        <v>39335228.530032955</v>
      </c>
      <c r="BN36" s="133">
        <f>+'Info recibida'!BO36/550</f>
        <v>39247843.1173108</v>
      </c>
      <c r="BO36" s="133">
        <f>+'Info recibida'!BP36/550</f>
        <v>39550300.867899217</v>
      </c>
      <c r="BP36" s="133">
        <f>+'Info recibida'!BQ36/550</f>
        <v>41567241.187839806</v>
      </c>
      <c r="BQ36" s="133">
        <f>+'Info recibida'!BR36/550</f>
        <v>43624468.63184718</v>
      </c>
      <c r="BR36" s="133">
        <f>+'Info recibida'!BS36/550</f>
        <v>45784557.448054925</v>
      </c>
      <c r="BS36" s="133">
        <f>+'Info recibida'!BT36/550</f>
        <v>364976266.2143603</v>
      </c>
      <c r="BT36" s="126"/>
      <c r="BU36" s="126"/>
      <c r="BV36" s="126"/>
      <c r="BW36" s="139"/>
      <c r="BX36" s="136">
        <f>+'Info recibida'!BY36/550</f>
        <v>50637397.327662289</v>
      </c>
      <c r="BY36" s="133">
        <f>+'Info recibida'!BZ36/550</f>
        <v>64477506.826679617</v>
      </c>
      <c r="BZ36" s="133">
        <f>+'Info recibida'!CA36/550</f>
        <v>59430640.615159839</v>
      </c>
      <c r="CA36" s="133">
        <f>+'Info recibida'!CB36/550</f>
        <v>63472269.777476378</v>
      </c>
      <c r="CB36" s="133">
        <f>+'Info recibida'!CC36/550</f>
        <v>64997315.797960773</v>
      </c>
      <c r="CC36" s="133">
        <f>+'Info recibida'!CD36/550</f>
        <v>67883477.709028646</v>
      </c>
      <c r="CD36" s="133">
        <f>+'Info recibida'!CE36/550</f>
        <v>70533031.280357778</v>
      </c>
      <c r="CE36" s="133">
        <f>+'Info recibida'!CF36/550</f>
        <v>73173235.61211732</v>
      </c>
      <c r="CF36" s="497">
        <f>+'Info recibida'!CG36/550</f>
        <v>77960664.952440888</v>
      </c>
      <c r="CG36" s="137">
        <f t="shared" si="11"/>
        <v>592565539.89888346</v>
      </c>
      <c r="CH36" s="136">
        <f>+'Info recibida'!CH36/550</f>
        <v>16874397.765682809</v>
      </c>
      <c r="CI36" s="133">
        <f>+'Info recibida'!CI36/550</f>
        <v>19235365.303661425</v>
      </c>
      <c r="CJ36" s="133">
        <f>+'Info recibida'!CJ36/550</f>
        <v>22569155.26878215</v>
      </c>
      <c r="CK36" s="133">
        <f>+'Info recibida'!CK36/550</f>
        <v>24137041.247443426</v>
      </c>
      <c r="CL36" s="133">
        <f>+'Info recibida'!CL36/550</f>
        <v>25749472.680649981</v>
      </c>
      <c r="CM36" s="133">
        <f>+'Info recibida'!CM36/550</f>
        <v>28333176.841129426</v>
      </c>
      <c r="CN36" s="133">
        <f>+'Info recibida'!CN36/550</f>
        <v>28965790.092517976</v>
      </c>
      <c r="CO36" s="133">
        <f>+'Info recibida'!CO36/550</f>
        <v>29548766.980270147</v>
      </c>
      <c r="CP36" s="133">
        <f>+'Info recibida'!CP36/550</f>
        <v>32176107.504385967</v>
      </c>
      <c r="CQ36" s="137">
        <f>+'Info recibida'!CQ36/550</f>
        <v>227589273.68452328</v>
      </c>
      <c r="CR36" s="138"/>
      <c r="CS36" s="140">
        <f>+CS37+CS41+CS52</f>
        <v>553300</v>
      </c>
      <c r="CT36" s="126"/>
      <c r="CU36" s="126"/>
      <c r="CV36" s="126"/>
      <c r="CW36" s="126"/>
      <c r="CX36" s="126"/>
      <c r="CY36" s="141">
        <f>+'Info recibida'!CY36/550</f>
        <v>227035973.68452331</v>
      </c>
      <c r="CZ36" s="132"/>
      <c r="DA36" s="512">
        <f>SUM(DA37:DA53)</f>
        <v>1.0000000000000002</v>
      </c>
    </row>
    <row r="37" spans="2:105" ht="26.1" customHeight="1" x14ac:dyDescent="0.25">
      <c r="B37" s="286" t="s">
        <v>33</v>
      </c>
      <c r="C37" s="287" t="s">
        <v>355</v>
      </c>
      <c r="D37" s="63" t="s">
        <v>3</v>
      </c>
      <c r="E37" s="288"/>
      <c r="F37" s="64"/>
      <c r="G37" s="65"/>
      <c r="H37" s="66"/>
      <c r="I37" s="66"/>
      <c r="J37" s="289"/>
      <c r="K37" s="290"/>
      <c r="L37" s="291"/>
      <c r="N37" s="286" t="s">
        <v>33</v>
      </c>
      <c r="O37" s="292"/>
      <c r="P37" s="288"/>
      <c r="Q37" s="288"/>
      <c r="R37" s="288"/>
      <c r="S37" s="288"/>
      <c r="T37" s="288"/>
      <c r="U37" s="288"/>
      <c r="V37" s="288"/>
      <c r="W37" s="288"/>
      <c r="X37" s="288"/>
      <c r="Y37" s="288"/>
      <c r="Z37" s="288"/>
      <c r="AA37" s="288"/>
      <c r="AB37" s="288"/>
      <c r="AC37" s="288"/>
      <c r="AD37" s="288"/>
      <c r="AE37" s="293"/>
      <c r="AF37" s="292"/>
      <c r="AG37" s="288"/>
      <c r="AH37" s="288"/>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5"/>
      <c r="BF37" s="292"/>
      <c r="BG37" s="288"/>
      <c r="BH37" s="296"/>
      <c r="BI37" s="491">
        <f>+'Info recibida'!BJ37/550</f>
        <v>31969367.348881822</v>
      </c>
      <c r="BJ37" s="294">
        <f>+'Info recibida'!BK37/550</f>
        <v>33451475.086455002</v>
      </c>
      <c r="BK37" s="294">
        <f>+'Info recibida'!BL37/550</f>
        <v>44813721.942598611</v>
      </c>
      <c r="BL37" s="294">
        <f>+'Info recibida'!BM37/550</f>
        <v>36432793.038685389</v>
      </c>
      <c r="BM37" s="294">
        <f>+'Info recibida'!BN37/550</f>
        <v>38906536.222340643</v>
      </c>
      <c r="BN37" s="294">
        <f>+'Info recibida'!BO37/550</f>
        <v>38819150.809618488</v>
      </c>
      <c r="BO37" s="294">
        <f>+'Info recibida'!BP37/550</f>
        <v>39121608.560206912</v>
      </c>
      <c r="BP37" s="294">
        <f>+'Info recibida'!BQ37/550</f>
        <v>41144548.880147494</v>
      </c>
      <c r="BQ37" s="294">
        <f>+'Info recibida'!BR37/550</f>
        <v>43201776.324154869</v>
      </c>
      <c r="BR37" s="294">
        <f>+'Info recibida'!BS37/550</f>
        <v>45361865.14036262</v>
      </c>
      <c r="BS37" s="294">
        <f>+'Info recibida'!BT37/550</f>
        <v>361253476.00457001</v>
      </c>
      <c r="BT37" s="288"/>
      <c r="BU37" s="288"/>
      <c r="BV37" s="288"/>
      <c r="BW37" s="301"/>
      <c r="BX37" s="298">
        <f>+'Info recibida'!BY37/550</f>
        <v>49931698.026962988</v>
      </c>
      <c r="BY37" s="294">
        <f>+'Info recibida'!BZ37/550</f>
        <v>63502468.365141161</v>
      </c>
      <c r="BZ37" s="294">
        <f>+'Info recibida'!CA37/550</f>
        <v>58450147.608166836</v>
      </c>
      <c r="CA37" s="294">
        <f>+'Info recibida'!CB37/550</f>
        <v>62529049.497756101</v>
      </c>
      <c r="CB37" s="294">
        <f>+'Info recibida'!CC37/550</f>
        <v>64046822.79096777</v>
      </c>
      <c r="CC37" s="294">
        <f>+'Info recibida'!CD37/550</f>
        <v>66954802.883853815</v>
      </c>
      <c r="CD37" s="294">
        <f>+'Info recibida'!CE37/550</f>
        <v>69582538.273364767</v>
      </c>
      <c r="CE37" s="294">
        <f>+'Info recibida'!CF37/550</f>
        <v>72244560.786942497</v>
      </c>
      <c r="CF37" s="495">
        <f>+'Info recibida'!CG37/550</f>
        <v>77010171.945447892</v>
      </c>
      <c r="CG37" s="299">
        <f t="shared" si="11"/>
        <v>584252260.17860377</v>
      </c>
      <c r="CH37" s="298">
        <f>+'Info recibida'!CH37/550</f>
        <v>16480222.940507986</v>
      </c>
      <c r="CI37" s="294">
        <f>+'Info recibida'!CI37/550</f>
        <v>18688746.422542546</v>
      </c>
      <c r="CJ37" s="294">
        <f>+'Info recibida'!CJ37/550</f>
        <v>22017354.569481451</v>
      </c>
      <c r="CK37" s="294">
        <f>+'Info recibida'!CK37/550</f>
        <v>23622513.275415454</v>
      </c>
      <c r="CL37" s="294">
        <f>+'Info recibida'!CL37/550</f>
        <v>25227671.981349278</v>
      </c>
      <c r="CM37" s="294">
        <f>+'Info recibida'!CM37/550</f>
        <v>27833194.323646907</v>
      </c>
      <c r="CN37" s="294">
        <f>+'Info recibida'!CN37/550</f>
        <v>28437989.393217273</v>
      </c>
      <c r="CO37" s="294">
        <f>+'Info recibida'!CO37/550</f>
        <v>29042784.462787628</v>
      </c>
      <c r="CP37" s="294">
        <f>+'Info recibida'!CP37/550</f>
        <v>31648306.805085268</v>
      </c>
      <c r="CQ37" s="299">
        <f>+'Info recibida'!CQ37/550</f>
        <v>222998784.17403382</v>
      </c>
      <c r="CR37" s="300"/>
      <c r="CS37" s="302">
        <f>+CS39+CS38</f>
        <v>454300</v>
      </c>
      <c r="CT37" s="288"/>
      <c r="CU37" s="288"/>
      <c r="CV37" s="288"/>
      <c r="CW37" s="288"/>
      <c r="CX37" s="288"/>
      <c r="CY37" s="303">
        <f>+'Info recibida'!CY37/550</f>
        <v>222544484.17403382</v>
      </c>
      <c r="CZ37" s="293"/>
      <c r="DA37" s="514"/>
    </row>
    <row r="38" spans="2:105" ht="26.1" customHeight="1" x14ac:dyDescent="0.25">
      <c r="B38" s="143" t="s">
        <v>36</v>
      </c>
      <c r="C38" s="144" t="s">
        <v>355</v>
      </c>
      <c r="D38" s="59" t="s">
        <v>3</v>
      </c>
      <c r="E38" s="145"/>
      <c r="F38" s="60"/>
      <c r="G38" s="61"/>
      <c r="H38" s="62"/>
      <c r="I38" s="62"/>
      <c r="J38" s="147" t="s">
        <v>254</v>
      </c>
      <c r="K38" s="148" t="s">
        <v>255</v>
      </c>
      <c r="L38" s="149" t="s">
        <v>256</v>
      </c>
      <c r="N38" s="143" t="s">
        <v>36</v>
      </c>
      <c r="O38" s="150"/>
      <c r="P38" s="145"/>
      <c r="Q38" s="145"/>
      <c r="R38" s="145"/>
      <c r="S38" s="145"/>
      <c r="T38" s="145"/>
      <c r="U38" s="145"/>
      <c r="V38" s="145"/>
      <c r="W38" s="145"/>
      <c r="X38" s="145"/>
      <c r="Y38" s="145"/>
      <c r="Z38" s="145"/>
      <c r="AA38" s="145"/>
      <c r="AB38" s="145"/>
      <c r="AC38" s="145"/>
      <c r="AD38" s="145"/>
      <c r="AE38" s="151"/>
      <c r="AF38" s="150"/>
      <c r="AG38" s="145"/>
      <c r="AH38" s="145"/>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254"/>
      <c r="BF38" s="150"/>
      <c r="BG38" s="154" t="s">
        <v>355</v>
      </c>
      <c r="BH38" s="155"/>
      <c r="BI38" s="487">
        <f>+'Info recibida'!BJ38/550</f>
        <v>0</v>
      </c>
      <c r="BJ38" s="152">
        <f>+'Info recibida'!BK38/550</f>
        <v>0</v>
      </c>
      <c r="BK38" s="152">
        <f>+'Info recibida'!BL38/550</f>
        <v>0</v>
      </c>
      <c r="BL38" s="152">
        <f>+'Info recibida'!BM38/550</f>
        <v>0</v>
      </c>
      <c r="BM38" s="152">
        <f>+'Info recibida'!BN38/550</f>
        <v>0</v>
      </c>
      <c r="BN38" s="152">
        <f>+'Info recibida'!BO38/550</f>
        <v>0</v>
      </c>
      <c r="BO38" s="152">
        <f>+'Info recibida'!BP38/550</f>
        <v>0</v>
      </c>
      <c r="BP38" s="152">
        <f>+'Info recibida'!BQ38/550</f>
        <v>0</v>
      </c>
      <c r="BQ38" s="152">
        <f>+'Info recibida'!BR38/550</f>
        <v>0</v>
      </c>
      <c r="BR38" s="152">
        <f>+'Info recibida'!BS38/550</f>
        <v>0</v>
      </c>
      <c r="BS38" s="152">
        <f>+'Info recibida'!BT38/550</f>
        <v>0</v>
      </c>
      <c r="BT38" s="145"/>
      <c r="BU38" s="145"/>
      <c r="BV38" s="145"/>
      <c r="BW38" s="159"/>
      <c r="BX38" s="157">
        <f>+'Info recibida'!BY38/550</f>
        <v>0</v>
      </c>
      <c r="BY38" s="152">
        <f>+'Info recibida'!BZ38/550</f>
        <v>0</v>
      </c>
      <c r="BZ38" s="152">
        <f>+'Info recibida'!CA38/550</f>
        <v>0</v>
      </c>
      <c r="CA38" s="152">
        <f>+'Info recibida'!CB38/550</f>
        <v>0</v>
      </c>
      <c r="CB38" s="152">
        <f>+'Info recibida'!CC38/550</f>
        <v>0</v>
      </c>
      <c r="CC38" s="152">
        <f>+'Info recibida'!CD38/550</f>
        <v>0</v>
      </c>
      <c r="CD38" s="152">
        <f>+'Info recibida'!CE38/550</f>
        <v>0</v>
      </c>
      <c r="CE38" s="152">
        <f>+'Info recibida'!CF38/550</f>
        <v>0</v>
      </c>
      <c r="CF38" s="487">
        <f>+'Info recibida'!CG38/550</f>
        <v>0</v>
      </c>
      <c r="CG38" s="156"/>
      <c r="CH38" s="157">
        <f>+'Info recibida'!CH38/550</f>
        <v>0</v>
      </c>
      <c r="CI38" s="152">
        <f>+'Info recibida'!CI38/550</f>
        <v>0</v>
      </c>
      <c r="CJ38" s="152">
        <f>+'Info recibida'!CJ38/550</f>
        <v>0</v>
      </c>
      <c r="CK38" s="152">
        <f>+'Info recibida'!CK38/550</f>
        <v>0</v>
      </c>
      <c r="CL38" s="152">
        <f>+'Info recibida'!CL38/550</f>
        <v>0</v>
      </c>
      <c r="CM38" s="152">
        <f>+'Info recibida'!CM38/550</f>
        <v>0</v>
      </c>
      <c r="CN38" s="152">
        <f>+'Info recibida'!CN38/550</f>
        <v>0</v>
      </c>
      <c r="CO38" s="152">
        <f>+'Info recibida'!CO38/550</f>
        <v>0</v>
      </c>
      <c r="CP38" s="152">
        <f>+'Info recibida'!CP38/550</f>
        <v>0</v>
      </c>
      <c r="CQ38" s="156">
        <f>+'Info recibida'!CQ38/550</f>
        <v>0</v>
      </c>
      <c r="CR38" s="158"/>
      <c r="CS38" s="160"/>
      <c r="CT38" s="145"/>
      <c r="CU38" s="145"/>
      <c r="CV38" s="145"/>
      <c r="CW38" s="145"/>
      <c r="CX38" s="145"/>
      <c r="CY38" s="161">
        <f>+'Info recibida'!CY38/550</f>
        <v>0</v>
      </c>
      <c r="CZ38" s="151"/>
      <c r="DA38" s="514"/>
    </row>
    <row r="39" spans="2:105" ht="26.1" customHeight="1" x14ac:dyDescent="0.25">
      <c r="B39" s="143" t="s">
        <v>34</v>
      </c>
      <c r="C39" s="144" t="s">
        <v>355</v>
      </c>
      <c r="D39" s="59" t="s">
        <v>3</v>
      </c>
      <c r="E39" s="145"/>
      <c r="F39" s="60"/>
      <c r="G39" s="61"/>
      <c r="H39" s="62"/>
      <c r="I39" s="62"/>
      <c r="J39" s="147" t="s">
        <v>254</v>
      </c>
      <c r="K39" s="148" t="s">
        <v>255</v>
      </c>
      <c r="L39" s="149" t="s">
        <v>256</v>
      </c>
      <c r="N39" s="143" t="s">
        <v>34</v>
      </c>
      <c r="O39" s="150"/>
      <c r="P39" s="145"/>
      <c r="Q39" s="145"/>
      <c r="R39" s="145"/>
      <c r="S39" s="145"/>
      <c r="T39" s="145"/>
      <c r="U39" s="145"/>
      <c r="V39" s="145"/>
      <c r="W39" s="145"/>
      <c r="X39" s="145"/>
      <c r="Y39" s="145"/>
      <c r="Z39" s="145"/>
      <c r="AA39" s="145"/>
      <c r="AB39" s="145"/>
      <c r="AC39" s="145"/>
      <c r="AD39" s="145"/>
      <c r="AE39" s="151"/>
      <c r="AF39" s="150"/>
      <c r="AG39" s="145"/>
      <c r="AH39" s="145"/>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254"/>
      <c r="BF39" s="150"/>
      <c r="BG39" s="154" t="s">
        <v>355</v>
      </c>
      <c r="BH39" s="155"/>
      <c r="BI39" s="487">
        <f>+'Info recibida'!BJ39/550</f>
        <v>31969367.348881822</v>
      </c>
      <c r="BJ39" s="152">
        <f>+'Info recibida'!BK39/550</f>
        <v>33451475.086455002</v>
      </c>
      <c r="BK39" s="152">
        <f>+'Info recibida'!BL39/550</f>
        <v>44813721.942598611</v>
      </c>
      <c r="BL39" s="152">
        <f>+'Info recibida'!BM39/550</f>
        <v>36432793.038685389</v>
      </c>
      <c r="BM39" s="152">
        <f>+'Info recibida'!BN39/550</f>
        <v>38906536.222340643</v>
      </c>
      <c r="BN39" s="152">
        <f>+'Info recibida'!BO39/550</f>
        <v>38819150.809618488</v>
      </c>
      <c r="BO39" s="152">
        <f>+'Info recibida'!BP39/550</f>
        <v>39121608.560206912</v>
      </c>
      <c r="BP39" s="152">
        <f>+'Info recibida'!BQ39/550</f>
        <v>41144548.880147494</v>
      </c>
      <c r="BQ39" s="152">
        <f>+'Info recibida'!BR39/550</f>
        <v>43201776.324154869</v>
      </c>
      <c r="BR39" s="152">
        <f>+'Info recibida'!BS39/550</f>
        <v>45361865.14036262</v>
      </c>
      <c r="BS39" s="152">
        <f>+'Info recibida'!BT39/550</f>
        <v>361253476.00457001</v>
      </c>
      <c r="BT39" s="145"/>
      <c r="BU39" s="145"/>
      <c r="BV39" s="145"/>
      <c r="BW39" s="159"/>
      <c r="BX39" s="157">
        <f>+'Info recibida'!BY39/550</f>
        <v>49931698.026962988</v>
      </c>
      <c r="BY39" s="152">
        <f>+'Info recibida'!BZ39/550</f>
        <v>63502468.365141161</v>
      </c>
      <c r="BZ39" s="152">
        <f>+'Info recibida'!CA39/550</f>
        <v>58450147.608166836</v>
      </c>
      <c r="CA39" s="152">
        <f>+'Info recibida'!CB39/550</f>
        <v>62529049.497756101</v>
      </c>
      <c r="CB39" s="152">
        <f>+'Info recibida'!CC39/550</f>
        <v>64046822.79096777</v>
      </c>
      <c r="CC39" s="152">
        <f>+'Info recibida'!CD39/550</f>
        <v>66954802.883853815</v>
      </c>
      <c r="CD39" s="152">
        <f>+'Info recibida'!CE39/550</f>
        <v>69582538.273364767</v>
      </c>
      <c r="CE39" s="152">
        <f>+'Info recibida'!CF39/550</f>
        <v>72244560.786942497</v>
      </c>
      <c r="CF39" s="487">
        <f>+'Info recibida'!CG39/550</f>
        <v>77010171.945447892</v>
      </c>
      <c r="CG39" s="156">
        <f>SUM(BX39:CF39)</f>
        <v>584252260.17860377</v>
      </c>
      <c r="CH39" s="157">
        <f>+'Info recibida'!CH39/550</f>
        <v>16480222.940507986</v>
      </c>
      <c r="CI39" s="152">
        <f>+'Info recibida'!CI39/550</f>
        <v>18688746.422542546</v>
      </c>
      <c r="CJ39" s="152">
        <f>+'Info recibida'!CJ39/550</f>
        <v>22017354.569481451</v>
      </c>
      <c r="CK39" s="152">
        <f>+'Info recibida'!CK39/550</f>
        <v>23622513.275415454</v>
      </c>
      <c r="CL39" s="152">
        <f>+'Info recibida'!CL39/550</f>
        <v>25227671.981349278</v>
      </c>
      <c r="CM39" s="152">
        <f>+'Info recibida'!CM39/550</f>
        <v>27833194.323646907</v>
      </c>
      <c r="CN39" s="152">
        <f>+'Info recibida'!CN39/550</f>
        <v>28437989.393217273</v>
      </c>
      <c r="CO39" s="152">
        <f>+'Info recibida'!CO39/550</f>
        <v>29042784.462787628</v>
      </c>
      <c r="CP39" s="152">
        <f>+'Info recibida'!CP39/550</f>
        <v>31648306.805085268</v>
      </c>
      <c r="CQ39" s="156">
        <f>+'Info recibida'!CQ39/550</f>
        <v>222998784.17403382</v>
      </c>
      <c r="CR39" s="158"/>
      <c r="CS39" s="160">
        <f>SUM(CS40)</f>
        <v>454300</v>
      </c>
      <c r="CT39" s="145"/>
      <c r="CU39" s="145"/>
      <c r="CV39" s="145"/>
      <c r="CW39" s="145"/>
      <c r="CX39" s="145"/>
      <c r="CY39" s="161">
        <f>+'Info recibida'!CY39/550</f>
        <v>222544484.17403382</v>
      </c>
      <c r="CZ39" s="151"/>
      <c r="DA39" s="514"/>
    </row>
    <row r="40" spans="2:105" ht="26.1" customHeight="1" x14ac:dyDescent="0.25">
      <c r="B40" s="204" t="s">
        <v>35</v>
      </c>
      <c r="C40" s="205" t="s">
        <v>355</v>
      </c>
      <c r="D40" s="47" t="s">
        <v>3</v>
      </c>
      <c r="E40" s="48" t="s">
        <v>410</v>
      </c>
      <c r="F40" s="48" t="s">
        <v>414</v>
      </c>
      <c r="G40" s="48" t="s">
        <v>110</v>
      </c>
      <c r="H40" s="49" t="s">
        <v>245</v>
      </c>
      <c r="I40" s="49" t="s">
        <v>233</v>
      </c>
      <c r="J40" s="206"/>
      <c r="K40" s="207"/>
      <c r="L40" s="208"/>
      <c r="N40" s="204" t="s">
        <v>35</v>
      </c>
      <c r="O40" s="47" t="s">
        <v>3</v>
      </c>
      <c r="P40" s="48" t="s">
        <v>410</v>
      </c>
      <c r="Q40" s="48" t="s">
        <v>314</v>
      </c>
      <c r="R40" s="48" t="s">
        <v>314</v>
      </c>
      <c r="S40" s="48" t="s">
        <v>314</v>
      </c>
      <c r="T40" s="48" t="s">
        <v>307</v>
      </c>
      <c r="U40" s="48"/>
      <c r="V40" s="48"/>
      <c r="W40" s="48" t="s">
        <v>314</v>
      </c>
      <c r="X40" s="48"/>
      <c r="Y40" s="48"/>
      <c r="Z40" s="48" t="s">
        <v>314</v>
      </c>
      <c r="AA40" s="48"/>
      <c r="AB40" s="48" t="s">
        <v>314</v>
      </c>
      <c r="AC40" s="48"/>
      <c r="AD40" s="48"/>
      <c r="AE40" s="209"/>
      <c r="AF40" s="47" t="s">
        <v>308</v>
      </c>
      <c r="AG40" s="210" t="s">
        <v>319</v>
      </c>
      <c r="AH40" s="101" t="s">
        <v>411</v>
      </c>
      <c r="AI40" s="170">
        <v>310357.20000000007</v>
      </c>
      <c r="AJ40" s="170">
        <v>352008.94249999989</v>
      </c>
      <c r="AK40" s="170">
        <v>353431.50999999989</v>
      </c>
      <c r="AL40" s="170">
        <v>357933.41</v>
      </c>
      <c r="AM40" s="170">
        <v>341370.5</v>
      </c>
      <c r="AN40" s="170">
        <v>318870.5</v>
      </c>
      <c r="AO40" s="170">
        <v>261905.99999999997</v>
      </c>
      <c r="AP40" s="170">
        <v>300000</v>
      </c>
      <c r="AQ40" s="170">
        <v>300000</v>
      </c>
      <c r="AR40" s="170">
        <v>300000</v>
      </c>
      <c r="AS40" s="170"/>
      <c r="AT40" s="170"/>
      <c r="AU40" s="170">
        <f t="shared" ref="AU40:BC40" si="13">+AJ40+233000</f>
        <v>585008.94249999989</v>
      </c>
      <c r="AV40" s="170">
        <f t="shared" si="13"/>
        <v>586431.50999999989</v>
      </c>
      <c r="AW40" s="170">
        <f t="shared" si="13"/>
        <v>590933.40999999992</v>
      </c>
      <c r="AX40" s="170">
        <f t="shared" si="13"/>
        <v>574370.5</v>
      </c>
      <c r="AY40" s="170">
        <f t="shared" si="13"/>
        <v>551870.5</v>
      </c>
      <c r="AZ40" s="170">
        <f t="shared" si="13"/>
        <v>494906</v>
      </c>
      <c r="BA40" s="170">
        <f t="shared" si="13"/>
        <v>533000</v>
      </c>
      <c r="BB40" s="170">
        <f t="shared" si="13"/>
        <v>533000</v>
      </c>
      <c r="BC40" s="170">
        <f t="shared" si="13"/>
        <v>533000</v>
      </c>
      <c r="BD40" s="170"/>
      <c r="BE40" s="260"/>
      <c r="BF40" s="206" t="s">
        <v>334</v>
      </c>
      <c r="BG40" s="68" t="s">
        <v>312</v>
      </c>
      <c r="BH40" s="48" t="s">
        <v>323</v>
      </c>
      <c r="BI40" s="492">
        <f>+'Info recibida'!BJ40/550</f>
        <v>31969367.348881822</v>
      </c>
      <c r="BJ40" s="170">
        <f>+'Info recibida'!BK40/550</f>
        <v>33451475.086455002</v>
      </c>
      <c r="BK40" s="170">
        <f>+'Info recibida'!BL40/550</f>
        <v>44813721.942598611</v>
      </c>
      <c r="BL40" s="170">
        <f>+'Info recibida'!BM40/550</f>
        <v>36432793.038685389</v>
      </c>
      <c r="BM40" s="170">
        <f>+'Info recibida'!BN40/550</f>
        <v>38906536.222340643</v>
      </c>
      <c r="BN40" s="170">
        <f>+'Info recibida'!BO40/550</f>
        <v>38819150.809618488</v>
      </c>
      <c r="BO40" s="170">
        <f>+'Info recibida'!BP40/550</f>
        <v>39121608.560206912</v>
      </c>
      <c r="BP40" s="170">
        <f>+'Info recibida'!BQ40/550</f>
        <v>41144548.880147494</v>
      </c>
      <c r="BQ40" s="170">
        <f>+'Info recibida'!BR40/550</f>
        <v>43201776.324154869</v>
      </c>
      <c r="BR40" s="170">
        <f>+'Info recibida'!BS40/550</f>
        <v>45361865.14036262</v>
      </c>
      <c r="BS40" s="170">
        <f>+'Info recibida'!BT40/550</f>
        <v>361253476.00457001</v>
      </c>
      <c r="BT40" s="215">
        <v>0.94</v>
      </c>
      <c r="BU40" s="215"/>
      <c r="BV40" s="215">
        <v>0.06</v>
      </c>
      <c r="BW40" s="243" t="s">
        <v>495</v>
      </c>
      <c r="BX40" s="212">
        <f>+'Info recibida'!BY40/550</f>
        <v>49931698.026962988</v>
      </c>
      <c r="BY40" s="170">
        <f>+'Info recibida'!BZ40/550</f>
        <v>63502468.365141161</v>
      </c>
      <c r="BZ40" s="170">
        <f>+'Info recibida'!CA40/550</f>
        <v>58450147.608166836</v>
      </c>
      <c r="CA40" s="170">
        <f>+'Info recibida'!CB40/550</f>
        <v>62529049.497756101</v>
      </c>
      <c r="CB40" s="170">
        <f>+'Info recibida'!CC40/550</f>
        <v>64046822.79096777</v>
      </c>
      <c r="CC40" s="170">
        <f>+'Info recibida'!CD40/550</f>
        <v>66954802.883853815</v>
      </c>
      <c r="CD40" s="170">
        <f>+'Info recibida'!CE40/550</f>
        <v>69582538.273364767</v>
      </c>
      <c r="CE40" s="170">
        <f>+'Info recibida'!CF40/550</f>
        <v>72244560.786942497</v>
      </c>
      <c r="CF40" s="218">
        <f>+'Info recibida'!CG40/550</f>
        <v>77010171.945447892</v>
      </c>
      <c r="CG40" s="213">
        <f>SUM(BX40:CF40)</f>
        <v>584252260.17860377</v>
      </c>
      <c r="CH40" s="212">
        <f>+'Info recibida'!CH40/550</f>
        <v>16480222.940507986</v>
      </c>
      <c r="CI40" s="170">
        <f>+'Info recibida'!CI40/550</f>
        <v>18688746.422542546</v>
      </c>
      <c r="CJ40" s="170">
        <f>+'Info recibida'!CJ40/550</f>
        <v>22017354.569481451</v>
      </c>
      <c r="CK40" s="170">
        <f>+'Info recibida'!CK40/550</f>
        <v>23622513.275415454</v>
      </c>
      <c r="CL40" s="170">
        <f>+'Info recibida'!CL40/550</f>
        <v>25227671.981349278</v>
      </c>
      <c r="CM40" s="170">
        <f>+'Info recibida'!CM40/550</f>
        <v>27833194.323646907</v>
      </c>
      <c r="CN40" s="170">
        <f>+'Info recibida'!CN40/550</f>
        <v>28437989.393217273</v>
      </c>
      <c r="CO40" s="170">
        <f>+'Info recibida'!CO40/550</f>
        <v>29042784.462787628</v>
      </c>
      <c r="CP40" s="170">
        <f>+'Info recibida'!CP40/550</f>
        <v>31648306.805085268</v>
      </c>
      <c r="CQ40" s="213">
        <f>+'Info recibida'!CQ40/550</f>
        <v>222998784.17403382</v>
      </c>
      <c r="CR40" s="70"/>
      <c r="CS40" s="220">
        <f>190000+264300</f>
        <v>454300</v>
      </c>
      <c r="CT40" s="71" t="s">
        <v>335</v>
      </c>
      <c r="CU40" s="210"/>
      <c r="CV40" s="210"/>
      <c r="CW40" s="210"/>
      <c r="CX40" s="210"/>
      <c r="CY40" s="221">
        <f>+'Info recibida'!CY40/550</f>
        <v>222544484.17403382</v>
      </c>
      <c r="CZ40" s="222"/>
      <c r="DA40" s="514">
        <f t="shared" ref="DA40:DA53" si="14">+CQ40/CQ$36</f>
        <v>0.97982993909962268</v>
      </c>
    </row>
    <row r="41" spans="2:105" ht="26.1" customHeight="1" x14ac:dyDescent="0.25">
      <c r="B41" s="286" t="s">
        <v>38</v>
      </c>
      <c r="C41" s="287"/>
      <c r="D41" s="63" t="s">
        <v>4</v>
      </c>
      <c r="E41" s="288"/>
      <c r="F41" s="64"/>
      <c r="G41" s="65"/>
      <c r="H41" s="66"/>
      <c r="I41" s="66"/>
      <c r="J41" s="289"/>
      <c r="K41" s="290"/>
      <c r="L41" s="291"/>
      <c r="N41" s="286" t="s">
        <v>38</v>
      </c>
      <c r="O41" s="292"/>
      <c r="P41" s="288"/>
      <c r="Q41" s="288"/>
      <c r="R41" s="288"/>
      <c r="S41" s="288"/>
      <c r="T41" s="288"/>
      <c r="U41" s="288"/>
      <c r="V41" s="288"/>
      <c r="W41" s="288"/>
      <c r="X41" s="288"/>
      <c r="Y41" s="288"/>
      <c r="Z41" s="288"/>
      <c r="AA41" s="288"/>
      <c r="AB41" s="288"/>
      <c r="AC41" s="288"/>
      <c r="AD41" s="288"/>
      <c r="AE41" s="293"/>
      <c r="AF41" s="292"/>
      <c r="AG41" s="288"/>
      <c r="AH41" s="288"/>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5"/>
      <c r="BF41" s="292"/>
      <c r="BG41" s="288"/>
      <c r="BH41" s="296"/>
      <c r="BI41" s="491">
        <f>+'Info recibida'!BJ41/550</f>
        <v>146181.81818181818</v>
      </c>
      <c r="BJ41" s="294">
        <f>+'Info recibida'!BK41/550</f>
        <v>311524.47552447551</v>
      </c>
      <c r="BK41" s="294">
        <f>+'Info recibida'!BL41/550</f>
        <v>428237.76223776222</v>
      </c>
      <c r="BL41" s="294">
        <f>+'Info recibida'!BM41/550</f>
        <v>428237.76223776222</v>
      </c>
      <c r="BM41" s="294">
        <f>+'Info recibida'!BN41/550</f>
        <v>428237.76223776222</v>
      </c>
      <c r="BN41" s="294">
        <f>+'Info recibida'!BO41/550</f>
        <v>428237.76223776222</v>
      </c>
      <c r="BO41" s="294">
        <f>+'Info recibida'!BP41/550</f>
        <v>428237.76223776222</v>
      </c>
      <c r="BP41" s="294">
        <f>+'Info recibida'!BQ41/550</f>
        <v>422237.76223776222</v>
      </c>
      <c r="BQ41" s="294">
        <f>+'Info recibida'!BR41/550</f>
        <v>422237.76223776222</v>
      </c>
      <c r="BR41" s="294">
        <f>+'Info recibida'!BS41/550</f>
        <v>422237.76223776222</v>
      </c>
      <c r="BS41" s="294">
        <f>+'Info recibida'!BT41/550</f>
        <v>3719426.5734265726</v>
      </c>
      <c r="BT41" s="288"/>
      <c r="BU41" s="288"/>
      <c r="BV41" s="288"/>
      <c r="BW41" s="301"/>
      <c r="BX41" s="298">
        <f>+'Info recibida'!BY41/550</f>
        <v>687517.4825174826</v>
      </c>
      <c r="BY41" s="294">
        <f>+'Info recibida'!BZ41/550</f>
        <v>951402.09790209797</v>
      </c>
      <c r="BZ41" s="294">
        <f>+'Info recibida'!CA41/550</f>
        <v>958674.82517482515</v>
      </c>
      <c r="CA41" s="294">
        <f>+'Info recibida'!CB41/550</f>
        <v>943220.27972027974</v>
      </c>
      <c r="CB41" s="294">
        <f>+'Info recibida'!CC41/550</f>
        <v>928674.82517482515</v>
      </c>
      <c r="CC41" s="294">
        <f>+'Info recibida'!CD41/550</f>
        <v>928674.82517482515</v>
      </c>
      <c r="CD41" s="294">
        <f>+'Info recibida'!CE41/550</f>
        <v>928674.82517482515</v>
      </c>
      <c r="CE41" s="294">
        <f>+'Info recibida'!CF41/550</f>
        <v>928674.82517482515</v>
      </c>
      <c r="CF41" s="495">
        <f>+'Info recibida'!CG41/550</f>
        <v>928674.82517482515</v>
      </c>
      <c r="CG41" s="299">
        <f>SUM(BX41:CF41)</f>
        <v>8184188.8111888114</v>
      </c>
      <c r="CH41" s="298">
        <f>+'Info recibida'!CH41/550</f>
        <v>375993.00699300703</v>
      </c>
      <c r="CI41" s="294">
        <f>+'Info recibida'!CI41/550</f>
        <v>523164.3356643357</v>
      </c>
      <c r="CJ41" s="294">
        <f>+'Info recibida'!CJ41/550</f>
        <v>530437.06293706293</v>
      </c>
      <c r="CK41" s="294">
        <f>+'Info recibida'!CK41/550</f>
        <v>514982.51748251752</v>
      </c>
      <c r="CL41" s="294">
        <f>+'Info recibida'!CL41/550</f>
        <v>500437.06293706299</v>
      </c>
      <c r="CM41" s="294">
        <f>+'Info recibida'!CM41/550</f>
        <v>500437.06293706299</v>
      </c>
      <c r="CN41" s="294">
        <f>+'Info recibida'!CN41/550</f>
        <v>506437.06293706299</v>
      </c>
      <c r="CO41" s="294">
        <f>+'Info recibida'!CO41/550</f>
        <v>506437.06293706299</v>
      </c>
      <c r="CP41" s="294">
        <f>+'Info recibida'!CP41/550</f>
        <v>506437.06293706299</v>
      </c>
      <c r="CQ41" s="299">
        <f>+'Info recibida'!CQ41/550</f>
        <v>4464762.2377622379</v>
      </c>
      <c r="CR41" s="300"/>
      <c r="CS41" s="302">
        <f>+CS42+CS46+CS48+CS50</f>
        <v>99000</v>
      </c>
      <c r="CT41" s="288"/>
      <c r="CU41" s="288"/>
      <c r="CV41" s="288"/>
      <c r="CW41" s="288"/>
      <c r="CX41" s="288"/>
      <c r="CY41" s="303">
        <f>+'Info recibida'!CY41/550</f>
        <v>4365762.2377622379</v>
      </c>
      <c r="CZ41" s="293"/>
      <c r="DA41" s="514"/>
    </row>
    <row r="42" spans="2:105" ht="26.1" customHeight="1" x14ac:dyDescent="0.25">
      <c r="B42" s="143" t="s">
        <v>358</v>
      </c>
      <c r="C42" s="144" t="s">
        <v>357</v>
      </c>
      <c r="D42" s="59" t="s">
        <v>4</v>
      </c>
      <c r="E42" s="145"/>
      <c r="F42" s="60"/>
      <c r="G42" s="61"/>
      <c r="H42" s="62"/>
      <c r="I42" s="62"/>
      <c r="J42" s="147" t="s">
        <v>255</v>
      </c>
      <c r="K42" s="148" t="s">
        <v>256</v>
      </c>
      <c r="L42" s="149"/>
      <c r="N42" s="143" t="s">
        <v>358</v>
      </c>
      <c r="O42" s="150"/>
      <c r="P42" s="145"/>
      <c r="Q42" s="145"/>
      <c r="R42" s="145"/>
      <c r="S42" s="145"/>
      <c r="T42" s="145"/>
      <c r="U42" s="145"/>
      <c r="V42" s="145"/>
      <c r="W42" s="145"/>
      <c r="X42" s="145"/>
      <c r="Y42" s="145"/>
      <c r="Z42" s="145"/>
      <c r="AA42" s="145"/>
      <c r="AB42" s="145"/>
      <c r="AC42" s="145"/>
      <c r="AD42" s="145"/>
      <c r="AE42" s="151"/>
      <c r="AF42" s="150"/>
      <c r="AG42" s="145"/>
      <c r="AH42" s="145"/>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254"/>
      <c r="BF42" s="150"/>
      <c r="BG42" s="154" t="s">
        <v>357</v>
      </c>
      <c r="BH42" s="155"/>
      <c r="BI42" s="487">
        <f>+'Info recibida'!BJ42/550</f>
        <v>91636.363636363632</v>
      </c>
      <c r="BJ42" s="152">
        <f>+'Info recibida'!BK42/550</f>
        <v>265342.65734265733</v>
      </c>
      <c r="BK42" s="152">
        <f>+'Info recibida'!BL42/550</f>
        <v>408237.76223776222</v>
      </c>
      <c r="BL42" s="152">
        <f>+'Info recibida'!BM42/550</f>
        <v>408237.76223776222</v>
      </c>
      <c r="BM42" s="152">
        <f>+'Info recibida'!BN42/550</f>
        <v>408237.76223776222</v>
      </c>
      <c r="BN42" s="152">
        <f>+'Info recibida'!BO42/550</f>
        <v>408237.76223776222</v>
      </c>
      <c r="BO42" s="152">
        <f>+'Info recibida'!BP42/550</f>
        <v>408237.76223776222</v>
      </c>
      <c r="BP42" s="152">
        <f>+'Info recibida'!BQ42/550</f>
        <v>402237.76223776222</v>
      </c>
      <c r="BQ42" s="152">
        <f>+'Info recibida'!BR42/550</f>
        <v>402237.76223776222</v>
      </c>
      <c r="BR42" s="152">
        <f>+'Info recibida'!BS42/550</f>
        <v>402237.76223776222</v>
      </c>
      <c r="BS42" s="152">
        <f>+'Info recibida'!BT42/550</f>
        <v>3513244.7552447543</v>
      </c>
      <c r="BT42" s="145"/>
      <c r="BU42" s="145"/>
      <c r="BV42" s="145"/>
      <c r="BW42" s="159"/>
      <c r="BX42" s="157">
        <f>+'Info recibida'!BY42/550</f>
        <v>650790.20979020989</v>
      </c>
      <c r="BY42" s="152">
        <f>+'Info recibida'!BZ42/550</f>
        <v>920856.64335664338</v>
      </c>
      <c r="BZ42" s="152">
        <f>+'Info recibida'!CA42/550</f>
        <v>910856.64335664338</v>
      </c>
      <c r="CA42" s="152">
        <f>+'Info recibida'!CB42/550</f>
        <v>890856.64335664338</v>
      </c>
      <c r="CB42" s="152">
        <f>+'Info recibida'!CC42/550</f>
        <v>890856.64335664338</v>
      </c>
      <c r="CC42" s="152">
        <f>+'Info recibida'!CD42/550</f>
        <v>890856.64335664338</v>
      </c>
      <c r="CD42" s="152">
        <f>+'Info recibida'!CE42/550</f>
        <v>890856.64335664338</v>
      </c>
      <c r="CE42" s="152">
        <f>+'Info recibida'!CF42/550</f>
        <v>890856.64335664338</v>
      </c>
      <c r="CF42" s="487">
        <f>+'Info recibida'!CG42/550</f>
        <v>890856.64335664338</v>
      </c>
      <c r="CG42" s="156">
        <f>SUM(BX42:CF42)</f>
        <v>7827643.3566433582</v>
      </c>
      <c r="CH42" s="157">
        <f>+'Info recibida'!CH42/550</f>
        <v>385447.55244755244</v>
      </c>
      <c r="CI42" s="152">
        <f>+'Info recibida'!CI42/550</f>
        <v>512618.88111888117</v>
      </c>
      <c r="CJ42" s="152">
        <f>+'Info recibida'!CJ42/550</f>
        <v>502618.88111888117</v>
      </c>
      <c r="CK42" s="152">
        <f>+'Info recibida'!CK42/550</f>
        <v>482618.88111888117</v>
      </c>
      <c r="CL42" s="152">
        <f>+'Info recibida'!CL42/550</f>
        <v>482618.88111888117</v>
      </c>
      <c r="CM42" s="152">
        <f>+'Info recibida'!CM42/550</f>
        <v>482618.88111888117</v>
      </c>
      <c r="CN42" s="152">
        <f>+'Info recibida'!CN42/550</f>
        <v>488618.88111888117</v>
      </c>
      <c r="CO42" s="152">
        <f>+'Info recibida'!CO42/550</f>
        <v>488618.88111888117</v>
      </c>
      <c r="CP42" s="152">
        <f>+'Info recibida'!CP42/550</f>
        <v>488618.88111888117</v>
      </c>
      <c r="CQ42" s="156">
        <f>+'Info recibida'!CQ42/550</f>
        <v>4314398.6013986012</v>
      </c>
      <c r="CR42" s="158"/>
      <c r="CS42" s="160">
        <f>SUM(CS43:CS45)</f>
        <v>99000</v>
      </c>
      <c r="CT42" s="145"/>
      <c r="CU42" s="145"/>
      <c r="CV42" s="145"/>
      <c r="CW42" s="145"/>
      <c r="CX42" s="145"/>
      <c r="CY42" s="152">
        <f>+'Info recibida'!CY42/550</f>
        <v>4215398.6013986012</v>
      </c>
      <c r="CZ42" s="151"/>
      <c r="DA42" s="514"/>
    </row>
    <row r="43" spans="2:105" ht="26.1" customHeight="1" x14ac:dyDescent="0.25">
      <c r="B43" s="204" t="s">
        <v>39</v>
      </c>
      <c r="C43" s="205" t="s">
        <v>357</v>
      </c>
      <c r="D43" s="47" t="s">
        <v>4</v>
      </c>
      <c r="E43" s="48" t="s">
        <v>405</v>
      </c>
      <c r="F43" s="48" t="s">
        <v>397</v>
      </c>
      <c r="G43" s="48" t="s">
        <v>112</v>
      </c>
      <c r="H43" s="49"/>
      <c r="I43" s="49" t="s">
        <v>230</v>
      </c>
      <c r="J43" s="206"/>
      <c r="K43" s="207"/>
      <c r="L43" s="208"/>
      <c r="N43" s="204" t="s">
        <v>367</v>
      </c>
      <c r="O43" s="47" t="s">
        <v>4</v>
      </c>
      <c r="P43" s="48" t="s">
        <v>11</v>
      </c>
      <c r="Q43" s="48"/>
      <c r="R43" s="48" t="s">
        <v>314</v>
      </c>
      <c r="S43" s="48" t="s">
        <v>314</v>
      </c>
      <c r="T43" s="48"/>
      <c r="U43" s="48"/>
      <c r="V43" s="48"/>
      <c r="W43" s="48" t="s">
        <v>307</v>
      </c>
      <c r="X43" s="48"/>
      <c r="Y43" s="48"/>
      <c r="Z43" s="48" t="s">
        <v>314</v>
      </c>
      <c r="AA43" s="48"/>
      <c r="AB43" s="48"/>
      <c r="AC43" s="48"/>
      <c r="AD43" s="48"/>
      <c r="AE43" s="209"/>
      <c r="AF43" s="47" t="s">
        <v>308</v>
      </c>
      <c r="AG43" s="210" t="s">
        <v>309</v>
      </c>
      <c r="AH43" s="101" t="s">
        <v>368</v>
      </c>
      <c r="AI43" s="170">
        <v>6</v>
      </c>
      <c r="AJ43" s="170">
        <v>3</v>
      </c>
      <c r="AK43" s="170">
        <v>3</v>
      </c>
      <c r="AL43" s="170">
        <v>3</v>
      </c>
      <c r="AM43" s="170">
        <v>3</v>
      </c>
      <c r="AN43" s="170">
        <v>3</v>
      </c>
      <c r="AO43" s="170">
        <v>3</v>
      </c>
      <c r="AP43" s="170">
        <v>3</v>
      </c>
      <c r="AQ43" s="170">
        <v>3</v>
      </c>
      <c r="AR43" s="170">
        <v>3</v>
      </c>
      <c r="AS43" s="170"/>
      <c r="AT43" s="170"/>
      <c r="AU43" s="170">
        <v>23</v>
      </c>
      <c r="AV43" s="170">
        <v>23</v>
      </c>
      <c r="AW43" s="170">
        <v>23</v>
      </c>
      <c r="AX43" s="170">
        <v>23</v>
      </c>
      <c r="AY43" s="170">
        <v>23</v>
      </c>
      <c r="AZ43" s="170">
        <v>23</v>
      </c>
      <c r="BA43" s="170">
        <v>23</v>
      </c>
      <c r="BB43" s="170">
        <v>23</v>
      </c>
      <c r="BC43" s="170">
        <v>23</v>
      </c>
      <c r="BD43" s="170"/>
      <c r="BE43" s="170"/>
      <c r="BF43" s="206" t="s">
        <v>330</v>
      </c>
      <c r="BG43" s="257" t="s">
        <v>423</v>
      </c>
      <c r="BH43" s="48" t="s">
        <v>323</v>
      </c>
      <c r="BI43" s="493">
        <f>+'Info recibida'!BJ43/550</f>
        <v>91636.363636363632</v>
      </c>
      <c r="BJ43" s="252">
        <f>+'Info recibida'!BK43/550</f>
        <v>45000</v>
      </c>
      <c r="BK43" s="252">
        <f>+'Info recibida'!BL43/550</f>
        <v>45000</v>
      </c>
      <c r="BL43" s="252">
        <f>+'Info recibida'!BM43/550</f>
        <v>45000</v>
      </c>
      <c r="BM43" s="252">
        <f>+'Info recibida'!BN43/550</f>
        <v>45000</v>
      </c>
      <c r="BN43" s="252">
        <f>+'Info recibida'!BO43/550</f>
        <v>45000</v>
      </c>
      <c r="BO43" s="252">
        <f>+'Info recibida'!BP43/550</f>
        <v>45000</v>
      </c>
      <c r="BP43" s="252">
        <f>+'Info recibida'!BQ43/550</f>
        <v>45000</v>
      </c>
      <c r="BQ43" s="252">
        <f>+'Info recibida'!BR43/550</f>
        <v>45000</v>
      </c>
      <c r="BR43" s="252">
        <f>+'Info recibida'!BS43/550</f>
        <v>45000</v>
      </c>
      <c r="BS43" s="170">
        <f>+'Info recibida'!BT43/550</f>
        <v>405000</v>
      </c>
      <c r="BT43" s="48"/>
      <c r="BU43" s="48"/>
      <c r="BV43" s="308">
        <v>1</v>
      </c>
      <c r="BW43" s="243" t="s">
        <v>496</v>
      </c>
      <c r="BX43" s="212">
        <f>+'Info recibida'!BY43/550</f>
        <v>345000</v>
      </c>
      <c r="BY43" s="170">
        <f>+'Info recibida'!BZ43/550</f>
        <v>345000</v>
      </c>
      <c r="BZ43" s="170">
        <f>+'Info recibida'!CA43/550</f>
        <v>345000</v>
      </c>
      <c r="CA43" s="170">
        <f>+'Info recibida'!CB43/550</f>
        <v>345000</v>
      </c>
      <c r="CB43" s="170">
        <f>+'Info recibida'!CC43/550</f>
        <v>345000</v>
      </c>
      <c r="CC43" s="170">
        <f>+'Info recibida'!CD43/550</f>
        <v>345000</v>
      </c>
      <c r="CD43" s="170">
        <f>+'Info recibida'!CE43/550</f>
        <v>345000</v>
      </c>
      <c r="CE43" s="170">
        <f>+'Info recibida'!CF43/550</f>
        <v>345000</v>
      </c>
      <c r="CF43" s="218">
        <f>+'Info recibida'!CG43/550</f>
        <v>345000</v>
      </c>
      <c r="CG43" s="213">
        <f>SUM(BW43:CF43)</f>
        <v>3105000</v>
      </c>
      <c r="CH43" s="217">
        <f>+'Info recibida'!CH43/550</f>
        <v>300000</v>
      </c>
      <c r="CI43" s="217">
        <f>+'Info recibida'!CI43/550</f>
        <v>300000</v>
      </c>
      <c r="CJ43" s="217">
        <f>+'Info recibida'!CJ43/550</f>
        <v>300000</v>
      </c>
      <c r="CK43" s="217">
        <f>+'Info recibida'!CK43/550</f>
        <v>300000</v>
      </c>
      <c r="CL43" s="217">
        <f>+'Info recibida'!CL43/550</f>
        <v>300000</v>
      </c>
      <c r="CM43" s="217">
        <f>+'Info recibida'!CM43/550</f>
        <v>300000</v>
      </c>
      <c r="CN43" s="217">
        <f>+'Info recibida'!CN43/550</f>
        <v>300000</v>
      </c>
      <c r="CO43" s="217">
        <f>+'Info recibida'!CO43/550</f>
        <v>300000</v>
      </c>
      <c r="CP43" s="217">
        <f>+'Info recibida'!CP43/550</f>
        <v>300000</v>
      </c>
      <c r="CQ43" s="213">
        <f>+'Info recibida'!CQ43/550</f>
        <v>2700000</v>
      </c>
      <c r="CR43" s="70"/>
      <c r="CS43" s="220">
        <v>99000</v>
      </c>
      <c r="CT43" s="71" t="s">
        <v>369</v>
      </c>
      <c r="CU43" s="210"/>
      <c r="CV43" s="210"/>
      <c r="CW43" s="210"/>
      <c r="CX43" s="210"/>
      <c r="CY43" s="221">
        <f>+'Info recibida'!CY43/550</f>
        <v>2601000</v>
      </c>
      <c r="CZ43" s="222"/>
      <c r="DA43" s="514">
        <f t="shared" si="14"/>
        <v>1.1863476499963046E-2</v>
      </c>
    </row>
    <row r="44" spans="2:105" ht="26.1" customHeight="1" x14ac:dyDescent="0.25">
      <c r="B44" s="163" t="s">
        <v>40</v>
      </c>
      <c r="C44" s="164" t="s">
        <v>357</v>
      </c>
      <c r="D44" s="74" t="s">
        <v>4</v>
      </c>
      <c r="E44" s="75" t="s">
        <v>405</v>
      </c>
      <c r="F44" s="75" t="s">
        <v>397</v>
      </c>
      <c r="G44" s="88" t="s">
        <v>113</v>
      </c>
      <c r="H44" s="49"/>
      <c r="I44" s="49" t="s">
        <v>230</v>
      </c>
      <c r="J44" s="206"/>
      <c r="K44" s="207"/>
      <c r="L44" s="208"/>
      <c r="N44" s="204" t="s">
        <v>472</v>
      </c>
      <c r="O44" s="47" t="s">
        <v>4</v>
      </c>
      <c r="P44" s="48" t="s">
        <v>444</v>
      </c>
      <c r="Q44" s="48" t="s">
        <v>314</v>
      </c>
      <c r="R44" s="48" t="s">
        <v>314</v>
      </c>
      <c r="S44" s="48" t="s">
        <v>314</v>
      </c>
      <c r="T44" s="48"/>
      <c r="U44" s="48" t="s">
        <v>314</v>
      </c>
      <c r="V44" s="48"/>
      <c r="W44" s="48" t="s">
        <v>307</v>
      </c>
      <c r="X44" s="48"/>
      <c r="Y44" s="48"/>
      <c r="Z44" s="48"/>
      <c r="AA44" s="48"/>
      <c r="AB44" s="48"/>
      <c r="AC44" s="48"/>
      <c r="AD44" s="48"/>
      <c r="AE44" s="209"/>
      <c r="AF44" s="47" t="s">
        <v>315</v>
      </c>
      <c r="AG44" s="210" t="s">
        <v>319</v>
      </c>
      <c r="AH44" s="97" t="s">
        <v>445</v>
      </c>
      <c r="AI44" s="170">
        <v>1</v>
      </c>
      <c r="AJ44" s="170">
        <v>0</v>
      </c>
      <c r="AK44" s="170">
        <v>0</v>
      </c>
      <c r="AL44" s="170">
        <v>0</v>
      </c>
      <c r="AM44" s="170">
        <v>0</v>
      </c>
      <c r="AN44" s="170">
        <v>0</v>
      </c>
      <c r="AO44" s="170">
        <v>0</v>
      </c>
      <c r="AP44" s="170">
        <v>0</v>
      </c>
      <c r="AQ44" s="170">
        <v>0</v>
      </c>
      <c r="AR44" s="170">
        <v>1</v>
      </c>
      <c r="AS44" s="170"/>
      <c r="AT44" s="170"/>
      <c r="AU44" s="170">
        <v>0</v>
      </c>
      <c r="AV44" s="170">
        <v>0</v>
      </c>
      <c r="AW44" s="170">
        <v>0</v>
      </c>
      <c r="AX44" s="170">
        <v>1</v>
      </c>
      <c r="AY44" s="170">
        <v>0</v>
      </c>
      <c r="AZ44" s="170">
        <v>0</v>
      </c>
      <c r="BA44" s="170">
        <v>0</v>
      </c>
      <c r="BB44" s="170">
        <v>0</v>
      </c>
      <c r="BC44" s="170">
        <v>0</v>
      </c>
      <c r="BD44" s="170"/>
      <c r="BE44" s="170"/>
      <c r="BF44" s="206" t="s">
        <v>446</v>
      </c>
      <c r="BG44" s="257" t="s">
        <v>349</v>
      </c>
      <c r="BH44" s="48" t="s">
        <v>313</v>
      </c>
      <c r="BI44" s="211">
        <f>+'Info recibida'!BJ44/550</f>
        <v>0</v>
      </c>
      <c r="BJ44" s="170">
        <f>+'Info recibida'!BK44/550</f>
        <v>6000</v>
      </c>
      <c r="BK44" s="170">
        <f>+'Info recibida'!BL44/550</f>
        <v>6000</v>
      </c>
      <c r="BL44" s="170">
        <f>+'Info recibida'!BM44/550</f>
        <v>6000</v>
      </c>
      <c r="BM44" s="170">
        <f>+'Info recibida'!BN44/550</f>
        <v>6000</v>
      </c>
      <c r="BN44" s="170">
        <f>+'Info recibida'!BO44/550</f>
        <v>6000</v>
      </c>
      <c r="BO44" s="170">
        <f>+'Info recibida'!BP44/550</f>
        <v>6000</v>
      </c>
      <c r="BP44" s="170">
        <f>+'Info recibida'!BQ44/550</f>
        <v>0</v>
      </c>
      <c r="BQ44" s="170">
        <f>+'Info recibida'!BR44/550</f>
        <v>0</v>
      </c>
      <c r="BR44" s="170">
        <f>+'Info recibida'!BS44/550</f>
        <v>0</v>
      </c>
      <c r="BS44" s="170">
        <f>+'Info recibida'!BT44/550</f>
        <v>36000</v>
      </c>
      <c r="BT44" s="48"/>
      <c r="BU44" s="48"/>
      <c r="BV44" s="215">
        <v>1</v>
      </c>
      <c r="BW44" s="243"/>
      <c r="BX44" s="212">
        <f>+'Info recibida'!BY44/550</f>
        <v>10000</v>
      </c>
      <c r="BY44" s="170">
        <f>+'Info recibida'!BZ44/550</f>
        <v>30000</v>
      </c>
      <c r="BZ44" s="170">
        <f>+'Info recibida'!CA44/550</f>
        <v>20000</v>
      </c>
      <c r="CA44" s="170">
        <f>+'Info recibida'!CB44/550</f>
        <v>0</v>
      </c>
      <c r="CB44" s="170">
        <f>+'Info recibida'!CC44/550</f>
        <v>0</v>
      </c>
      <c r="CC44" s="170">
        <f>+'Info recibida'!CD44/550</f>
        <v>0</v>
      </c>
      <c r="CD44" s="170">
        <f>+'Info recibida'!CE44/550</f>
        <v>0</v>
      </c>
      <c r="CE44" s="170">
        <f>+'Info recibida'!CF44/550</f>
        <v>0</v>
      </c>
      <c r="CF44" s="218">
        <f>+'Info recibida'!CG44/550</f>
        <v>0</v>
      </c>
      <c r="CG44" s="213">
        <f t="shared" ref="CG44:CG55" si="15">SUM(BX44:CF44)</f>
        <v>60000</v>
      </c>
      <c r="CH44" s="217">
        <f>+'Info recibida'!CH44/550</f>
        <v>4000</v>
      </c>
      <c r="CI44" s="170">
        <f>+'Info recibida'!CI44/550</f>
        <v>24000</v>
      </c>
      <c r="CJ44" s="170">
        <f>+'Info recibida'!CJ44/550</f>
        <v>14000</v>
      </c>
      <c r="CK44" s="170">
        <f>+'Info recibida'!CK44/550</f>
        <v>-6000</v>
      </c>
      <c r="CL44" s="170">
        <f>+'Info recibida'!CL44/550</f>
        <v>-6000</v>
      </c>
      <c r="CM44" s="170">
        <f>+'Info recibida'!CM44/550</f>
        <v>-6000</v>
      </c>
      <c r="CN44" s="170">
        <f>+'Info recibida'!CN44/550</f>
        <v>0</v>
      </c>
      <c r="CO44" s="170">
        <f>+'Info recibida'!CO44/550</f>
        <v>0</v>
      </c>
      <c r="CP44" s="170">
        <f>+'Info recibida'!CP44/550</f>
        <v>0</v>
      </c>
      <c r="CQ44" s="213">
        <f>+'Info recibida'!CQ44/550</f>
        <v>24000</v>
      </c>
      <c r="CR44" s="70"/>
      <c r="CS44" s="71"/>
      <c r="CT44" s="71"/>
      <c r="CU44" s="210"/>
      <c r="CV44" s="210"/>
      <c r="CW44" s="210"/>
      <c r="CX44" s="210"/>
      <c r="CY44" s="221">
        <f>+'Info recibida'!CY44/550</f>
        <v>24000</v>
      </c>
      <c r="CZ44" s="222"/>
      <c r="DA44" s="514">
        <f t="shared" si="14"/>
        <v>1.0545312444411596E-4</v>
      </c>
    </row>
    <row r="45" spans="2:105" ht="26.1" customHeight="1" x14ac:dyDescent="0.25">
      <c r="B45" s="184"/>
      <c r="C45" s="185"/>
      <c r="D45" s="80"/>
      <c r="E45" s="81"/>
      <c r="F45" s="81"/>
      <c r="G45" s="89"/>
      <c r="H45" s="49"/>
      <c r="I45" s="49" t="s">
        <v>230</v>
      </c>
      <c r="J45" s="206"/>
      <c r="K45" s="207"/>
      <c r="L45" s="208"/>
      <c r="N45" s="204" t="s">
        <v>473</v>
      </c>
      <c r="O45" s="47" t="s">
        <v>4</v>
      </c>
      <c r="P45" s="48" t="s">
        <v>444</v>
      </c>
      <c r="Q45" s="48"/>
      <c r="R45" s="48"/>
      <c r="S45" s="48"/>
      <c r="T45" s="48"/>
      <c r="U45" s="48"/>
      <c r="V45" s="48"/>
      <c r="W45" s="48"/>
      <c r="X45" s="48"/>
      <c r="Y45" s="48"/>
      <c r="Z45" s="48"/>
      <c r="AA45" s="48"/>
      <c r="AB45" s="48"/>
      <c r="AC45" s="48"/>
      <c r="AD45" s="48"/>
      <c r="AE45" s="209"/>
      <c r="AF45" s="47"/>
      <c r="AG45" s="210" t="s">
        <v>339</v>
      </c>
      <c r="AH45" s="97" t="s">
        <v>447</v>
      </c>
      <c r="AI45" s="170"/>
      <c r="AJ45" s="170">
        <v>30</v>
      </c>
      <c r="AK45" s="170">
        <v>50</v>
      </c>
      <c r="AL45" s="170">
        <v>50</v>
      </c>
      <c r="AM45" s="170">
        <v>50</v>
      </c>
      <c r="AN45" s="170">
        <v>50</v>
      </c>
      <c r="AO45" s="170">
        <v>50</v>
      </c>
      <c r="AP45" s="170">
        <v>50</v>
      </c>
      <c r="AQ45" s="170">
        <v>50</v>
      </c>
      <c r="AR45" s="170">
        <v>50</v>
      </c>
      <c r="AS45" s="170"/>
      <c r="AT45" s="170"/>
      <c r="AU45" s="170">
        <v>40</v>
      </c>
      <c r="AV45" s="170">
        <v>75</v>
      </c>
      <c r="AW45" s="170">
        <v>75</v>
      </c>
      <c r="AX45" s="170">
        <v>75</v>
      </c>
      <c r="AY45" s="170">
        <v>75</v>
      </c>
      <c r="AZ45" s="170">
        <v>75</v>
      </c>
      <c r="BA45" s="170">
        <v>75</v>
      </c>
      <c r="BB45" s="170">
        <v>75</v>
      </c>
      <c r="BC45" s="170">
        <v>75</v>
      </c>
      <c r="BD45" s="170"/>
      <c r="BE45" s="170"/>
      <c r="BF45" s="206"/>
      <c r="BG45" s="257" t="s">
        <v>349</v>
      </c>
      <c r="BH45" s="48"/>
      <c r="BI45" s="211">
        <f>+'Info recibida'!BJ45/550</f>
        <v>0</v>
      </c>
      <c r="BJ45" s="170">
        <f>+'Info recibida'!BK45/550</f>
        <v>214342.65734265733</v>
      </c>
      <c r="BK45" s="217">
        <f>+'Info recibida'!BL45/550</f>
        <v>357237.76223776222</v>
      </c>
      <c r="BL45" s="217">
        <f>+'Info recibida'!BM45/550</f>
        <v>357237.76223776222</v>
      </c>
      <c r="BM45" s="217">
        <f>+'Info recibida'!BN45/550</f>
        <v>357237.76223776222</v>
      </c>
      <c r="BN45" s="217">
        <f>+'Info recibida'!BO45/550</f>
        <v>357237.76223776222</v>
      </c>
      <c r="BO45" s="217">
        <f>+'Info recibida'!BP45/550</f>
        <v>357237.76223776222</v>
      </c>
      <c r="BP45" s="217">
        <f>+'Info recibida'!BQ45/550</f>
        <v>357237.76223776222</v>
      </c>
      <c r="BQ45" s="217">
        <f>+'Info recibida'!BR45/550</f>
        <v>357237.76223776222</v>
      </c>
      <c r="BR45" s="217">
        <f>+'Info recibida'!BS45/550</f>
        <v>357237.76223776222</v>
      </c>
      <c r="BS45" s="170">
        <f>+'Info recibida'!BT45/550</f>
        <v>3072244.7552447543</v>
      </c>
      <c r="BT45" s="215">
        <v>1</v>
      </c>
      <c r="BU45" s="48"/>
      <c r="BV45" s="48"/>
      <c r="BW45" s="243"/>
      <c r="BX45" s="212">
        <f>+'Info recibida'!BY45/550</f>
        <v>295790.20979020977</v>
      </c>
      <c r="BY45" s="217">
        <f>+'Info recibida'!BZ45/550</f>
        <v>545856.64335664338</v>
      </c>
      <c r="BZ45" s="217">
        <f>+'Info recibida'!CA45/550</f>
        <v>545856.64335664338</v>
      </c>
      <c r="CA45" s="217">
        <f>+'Info recibida'!CB45/550</f>
        <v>545856.64335664338</v>
      </c>
      <c r="CB45" s="217">
        <f>+'Info recibida'!CC45/550</f>
        <v>545856.64335664338</v>
      </c>
      <c r="CC45" s="217">
        <f>+'Info recibida'!CD45/550</f>
        <v>545856.64335664338</v>
      </c>
      <c r="CD45" s="217">
        <f>+'Info recibida'!CE45/550</f>
        <v>545856.64335664338</v>
      </c>
      <c r="CE45" s="217">
        <f>+'Info recibida'!CF45/550</f>
        <v>545856.64335664338</v>
      </c>
      <c r="CF45" s="218">
        <f>+'Info recibida'!CG45/550</f>
        <v>545856.64335664338</v>
      </c>
      <c r="CG45" s="213">
        <f t="shared" si="15"/>
        <v>4662643.3566433573</v>
      </c>
      <c r="CH45" s="217">
        <f>+'Info recibida'!CH45/550</f>
        <v>81447.552447552458</v>
      </c>
      <c r="CI45" s="170">
        <f>+'Info recibida'!CI45/550</f>
        <v>188618.88111888117</v>
      </c>
      <c r="CJ45" s="170">
        <f>+'Info recibida'!CJ45/550</f>
        <v>188618.88111888117</v>
      </c>
      <c r="CK45" s="170">
        <f>+'Info recibida'!CK45/550</f>
        <v>188618.88111888117</v>
      </c>
      <c r="CL45" s="170">
        <f>+'Info recibida'!CL45/550</f>
        <v>188618.88111888117</v>
      </c>
      <c r="CM45" s="170">
        <f>+'Info recibida'!CM45/550</f>
        <v>188618.88111888117</v>
      </c>
      <c r="CN45" s="170">
        <f>+'Info recibida'!CN45/550</f>
        <v>188618.88111888117</v>
      </c>
      <c r="CO45" s="170">
        <f>+'Info recibida'!CO45/550</f>
        <v>188618.88111888117</v>
      </c>
      <c r="CP45" s="170">
        <f>+'Info recibida'!CP45/550</f>
        <v>188618.88111888117</v>
      </c>
      <c r="CQ45" s="213">
        <f>+'Info recibida'!CQ45/550</f>
        <v>1590398.6013986014</v>
      </c>
      <c r="CR45" s="70"/>
      <c r="CS45" s="71"/>
      <c r="CT45" s="71"/>
      <c r="CU45" s="210"/>
      <c r="CV45" s="210"/>
      <c r="CW45" s="210"/>
      <c r="CX45" s="210"/>
      <c r="CY45" s="221">
        <f>+'Info recibida'!CY45/550</f>
        <v>1590398.6013986014</v>
      </c>
      <c r="CZ45" s="222"/>
      <c r="DA45" s="514">
        <f t="shared" si="14"/>
        <v>6.9880209012097788E-3</v>
      </c>
    </row>
    <row r="46" spans="2:105" ht="26.1" customHeight="1" x14ac:dyDescent="0.25">
      <c r="B46" s="143" t="s">
        <v>42</v>
      </c>
      <c r="C46" s="144" t="s">
        <v>357</v>
      </c>
      <c r="D46" s="59" t="s">
        <v>44</v>
      </c>
      <c r="E46" s="145"/>
      <c r="F46" s="60"/>
      <c r="G46" s="61"/>
      <c r="H46" s="62"/>
      <c r="I46" s="62"/>
      <c r="J46" s="147" t="s">
        <v>254</v>
      </c>
      <c r="K46" s="148" t="s">
        <v>255</v>
      </c>
      <c r="L46" s="149"/>
      <c r="N46" s="143" t="s">
        <v>42</v>
      </c>
      <c r="O46" s="150"/>
      <c r="P46" s="145"/>
      <c r="Q46" s="145"/>
      <c r="R46" s="145"/>
      <c r="S46" s="145"/>
      <c r="T46" s="145"/>
      <c r="U46" s="145"/>
      <c r="V46" s="145"/>
      <c r="W46" s="145"/>
      <c r="X46" s="145"/>
      <c r="Y46" s="145"/>
      <c r="Z46" s="145"/>
      <c r="AA46" s="145"/>
      <c r="AB46" s="145"/>
      <c r="AC46" s="145"/>
      <c r="AD46" s="145"/>
      <c r="AE46" s="151"/>
      <c r="AF46" s="150"/>
      <c r="AG46" s="145"/>
      <c r="AH46" s="145"/>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254"/>
      <c r="BF46" s="150"/>
      <c r="BG46" s="154" t="s">
        <v>357</v>
      </c>
      <c r="BH46" s="155"/>
      <c r="BI46" s="487">
        <f>+'Info recibida'!BJ46/550</f>
        <v>0</v>
      </c>
      <c r="BJ46" s="152">
        <f>+'Info recibida'!BK46/550</f>
        <v>8000</v>
      </c>
      <c r="BK46" s="152">
        <f>+'Info recibida'!BL46/550</f>
        <v>0</v>
      </c>
      <c r="BL46" s="152">
        <f>+'Info recibida'!BM46/550</f>
        <v>0</v>
      </c>
      <c r="BM46" s="152">
        <f>+'Info recibida'!BN46/550</f>
        <v>0</v>
      </c>
      <c r="BN46" s="152">
        <f>+'Info recibida'!BO46/550</f>
        <v>0</v>
      </c>
      <c r="BO46" s="152">
        <f>+'Info recibida'!BP46/550</f>
        <v>0</v>
      </c>
      <c r="BP46" s="152">
        <f>+'Info recibida'!BQ46/550</f>
        <v>0</v>
      </c>
      <c r="BQ46" s="152">
        <f>+'Info recibida'!BR46/550</f>
        <v>0</v>
      </c>
      <c r="BR46" s="152">
        <f>+'Info recibida'!BS46/550</f>
        <v>0</v>
      </c>
      <c r="BS46" s="152">
        <f>+'Info recibida'!BT46/550</f>
        <v>8000</v>
      </c>
      <c r="BT46" s="145"/>
      <c r="BU46" s="145"/>
      <c r="BV46" s="145"/>
      <c r="BW46" s="159"/>
      <c r="BX46" s="157">
        <f>+'Info recibida'!BY46/550</f>
        <v>8000</v>
      </c>
      <c r="BY46" s="152">
        <f>+'Info recibida'!BZ46/550</f>
        <v>0</v>
      </c>
      <c r="BZ46" s="152">
        <f>+'Info recibida'!CA46/550</f>
        <v>0</v>
      </c>
      <c r="CA46" s="152">
        <f>+'Info recibida'!CB46/550</f>
        <v>10000</v>
      </c>
      <c r="CB46" s="152">
        <f>+'Info recibida'!CC46/550</f>
        <v>0</v>
      </c>
      <c r="CC46" s="152">
        <f>+'Info recibida'!CD46/550</f>
        <v>0</v>
      </c>
      <c r="CD46" s="152">
        <f>+'Info recibida'!CE46/550</f>
        <v>0</v>
      </c>
      <c r="CE46" s="152">
        <f>+'Info recibida'!CF46/550</f>
        <v>0</v>
      </c>
      <c r="CF46" s="487">
        <f>+'Info recibida'!CG46/550</f>
        <v>0</v>
      </c>
      <c r="CG46" s="156">
        <f t="shared" si="15"/>
        <v>18000</v>
      </c>
      <c r="CH46" s="157">
        <f>+'Info recibida'!CH46/550</f>
        <v>0</v>
      </c>
      <c r="CI46" s="152">
        <f>+'Info recibida'!CI46/550</f>
        <v>0</v>
      </c>
      <c r="CJ46" s="152">
        <f>+'Info recibida'!CJ46/550</f>
        <v>0</v>
      </c>
      <c r="CK46" s="152">
        <f>+'Info recibida'!CK46/550</f>
        <v>10000</v>
      </c>
      <c r="CL46" s="152">
        <f>+'Info recibida'!CL46/550</f>
        <v>0</v>
      </c>
      <c r="CM46" s="152">
        <f>+'Info recibida'!CM46/550</f>
        <v>0</v>
      </c>
      <c r="CN46" s="152">
        <f>+'Info recibida'!CN46/550</f>
        <v>0</v>
      </c>
      <c r="CO46" s="152">
        <f>+'Info recibida'!CO46/550</f>
        <v>0</v>
      </c>
      <c r="CP46" s="152">
        <f>+'Info recibida'!CP46/550</f>
        <v>0</v>
      </c>
      <c r="CQ46" s="156">
        <f>+'Info recibida'!CQ46/550</f>
        <v>10000</v>
      </c>
      <c r="CR46" s="158"/>
      <c r="CS46" s="160">
        <f>SUM(CS47)</f>
        <v>0</v>
      </c>
      <c r="CT46" s="145"/>
      <c r="CU46" s="145"/>
      <c r="CV46" s="145"/>
      <c r="CW46" s="145"/>
      <c r="CX46" s="145"/>
      <c r="CY46" s="161">
        <f>+'Info recibida'!CY46/550</f>
        <v>10000</v>
      </c>
      <c r="CZ46" s="151"/>
      <c r="DA46" s="514"/>
    </row>
    <row r="47" spans="2:105" ht="26.1" customHeight="1" x14ac:dyDescent="0.25">
      <c r="B47" s="204" t="s">
        <v>43</v>
      </c>
      <c r="C47" s="205" t="s">
        <v>357</v>
      </c>
      <c r="D47" s="47" t="s">
        <v>44</v>
      </c>
      <c r="E47" s="255"/>
      <c r="F47" s="48" t="s">
        <v>11</v>
      </c>
      <c r="G47" s="48" t="s">
        <v>113</v>
      </c>
      <c r="H47" s="49"/>
      <c r="I47" s="49" t="s">
        <v>230</v>
      </c>
      <c r="J47" s="206"/>
      <c r="K47" s="207"/>
      <c r="L47" s="208"/>
      <c r="N47" s="204" t="s">
        <v>448</v>
      </c>
      <c r="O47" s="47" t="s">
        <v>44</v>
      </c>
      <c r="P47" s="48" t="s">
        <v>450</v>
      </c>
      <c r="Q47" s="48" t="s">
        <v>314</v>
      </c>
      <c r="R47" s="48" t="s">
        <v>314</v>
      </c>
      <c r="S47" s="48" t="s">
        <v>314</v>
      </c>
      <c r="T47" s="48"/>
      <c r="U47" s="48" t="s">
        <v>314</v>
      </c>
      <c r="V47" s="48"/>
      <c r="W47" s="48" t="s">
        <v>307</v>
      </c>
      <c r="X47" s="48"/>
      <c r="Y47" s="48"/>
      <c r="Z47" s="48"/>
      <c r="AA47" s="48"/>
      <c r="AB47" s="48"/>
      <c r="AC47" s="48"/>
      <c r="AD47" s="48"/>
      <c r="AE47" s="209"/>
      <c r="AF47" s="47" t="s">
        <v>315</v>
      </c>
      <c r="AG47" s="210" t="s">
        <v>319</v>
      </c>
      <c r="AH47" s="101" t="s">
        <v>449</v>
      </c>
      <c r="AI47" s="170">
        <v>1</v>
      </c>
      <c r="AJ47" s="170">
        <v>0</v>
      </c>
      <c r="AK47" s="170">
        <v>0</v>
      </c>
      <c r="AL47" s="170">
        <v>0</v>
      </c>
      <c r="AM47" s="170">
        <v>0</v>
      </c>
      <c r="AN47" s="170">
        <v>1</v>
      </c>
      <c r="AO47" s="170">
        <v>0</v>
      </c>
      <c r="AP47" s="170">
        <v>0</v>
      </c>
      <c r="AQ47" s="170">
        <v>0</v>
      </c>
      <c r="AR47" s="170">
        <v>0</v>
      </c>
      <c r="AS47" s="170"/>
      <c r="AT47" s="170"/>
      <c r="AU47" s="170">
        <v>0</v>
      </c>
      <c r="AV47" s="170">
        <v>0</v>
      </c>
      <c r="AW47" s="170">
        <v>0</v>
      </c>
      <c r="AX47" s="170">
        <v>0</v>
      </c>
      <c r="AY47" s="170">
        <v>1</v>
      </c>
      <c r="AZ47" s="170">
        <v>0</v>
      </c>
      <c r="BA47" s="170">
        <v>0</v>
      </c>
      <c r="BB47" s="170">
        <v>0</v>
      </c>
      <c r="BC47" s="170">
        <v>0</v>
      </c>
      <c r="BD47" s="170"/>
      <c r="BE47" s="170"/>
      <c r="BF47" s="206" t="s">
        <v>446</v>
      </c>
      <c r="BG47" s="257" t="s">
        <v>349</v>
      </c>
      <c r="BH47" s="48" t="s">
        <v>313</v>
      </c>
      <c r="BI47" s="211">
        <f>+'Info recibida'!BJ47/550</f>
        <v>0</v>
      </c>
      <c r="BJ47" s="170">
        <f>+'Info recibida'!BK47/550</f>
        <v>8000</v>
      </c>
      <c r="BK47" s="170">
        <f>+'Info recibida'!BL47/550</f>
        <v>0</v>
      </c>
      <c r="BL47" s="170">
        <f>+'Info recibida'!BM47/550</f>
        <v>0</v>
      </c>
      <c r="BM47" s="170">
        <f>+'Info recibida'!BN47/550</f>
        <v>0</v>
      </c>
      <c r="BN47" s="170">
        <f>+'Info recibida'!BO47/550</f>
        <v>0</v>
      </c>
      <c r="BO47" s="170">
        <f>+'Info recibida'!BP47/550</f>
        <v>0</v>
      </c>
      <c r="BP47" s="170">
        <f>+'Info recibida'!BQ47/550</f>
        <v>0</v>
      </c>
      <c r="BQ47" s="170">
        <f>+'Info recibida'!BR47/550</f>
        <v>0</v>
      </c>
      <c r="BR47" s="170">
        <f>+'Info recibida'!BS47/550</f>
        <v>0</v>
      </c>
      <c r="BS47" s="170">
        <f>+'Info recibida'!BT47/550</f>
        <v>8000</v>
      </c>
      <c r="BT47" s="48"/>
      <c r="BU47" s="48"/>
      <c r="BV47" s="215">
        <v>1</v>
      </c>
      <c r="BW47" s="243" t="s">
        <v>388</v>
      </c>
      <c r="BX47" s="212">
        <f>+'Info recibida'!BY47/550</f>
        <v>8000</v>
      </c>
      <c r="BY47" s="170">
        <f>+'Info recibida'!BZ47/550</f>
        <v>0</v>
      </c>
      <c r="BZ47" s="170">
        <f>+'Info recibida'!CA47/550</f>
        <v>0</v>
      </c>
      <c r="CA47" s="170">
        <f>+'Info recibida'!CB47/550</f>
        <v>10000</v>
      </c>
      <c r="CB47" s="170">
        <f>+'Info recibida'!CC47/550</f>
        <v>0</v>
      </c>
      <c r="CC47" s="170">
        <f>+'Info recibida'!CD47/550</f>
        <v>0</v>
      </c>
      <c r="CD47" s="170">
        <f>+'Info recibida'!CE47/550</f>
        <v>0</v>
      </c>
      <c r="CE47" s="170">
        <f>+'Info recibida'!CF47/550</f>
        <v>0</v>
      </c>
      <c r="CF47" s="218">
        <f>+'Info recibida'!CG47/550</f>
        <v>0</v>
      </c>
      <c r="CG47" s="213">
        <f t="shared" si="15"/>
        <v>18000</v>
      </c>
      <c r="CH47" s="217">
        <f>+'Info recibida'!CH47/550</f>
        <v>0</v>
      </c>
      <c r="CI47" s="217">
        <f>+'Info recibida'!CI47/550</f>
        <v>0</v>
      </c>
      <c r="CJ47" s="217">
        <f>+'Info recibida'!CJ47/550</f>
        <v>0</v>
      </c>
      <c r="CK47" s="217">
        <f>+'Info recibida'!CK47/550</f>
        <v>10000</v>
      </c>
      <c r="CL47" s="217">
        <f>+'Info recibida'!CL47/550</f>
        <v>0</v>
      </c>
      <c r="CM47" s="217">
        <f>+'Info recibida'!CM47/550</f>
        <v>0</v>
      </c>
      <c r="CN47" s="217">
        <f>+'Info recibida'!CN47/550</f>
        <v>0</v>
      </c>
      <c r="CO47" s="217">
        <f>+'Info recibida'!CO47/550</f>
        <v>0</v>
      </c>
      <c r="CP47" s="217">
        <f>+'Info recibida'!CP47/550</f>
        <v>0</v>
      </c>
      <c r="CQ47" s="213">
        <f>+'Info recibida'!CQ47/550</f>
        <v>10000</v>
      </c>
      <c r="CR47" s="70"/>
      <c r="CS47" s="71"/>
      <c r="CT47" s="71"/>
      <c r="CU47" s="210"/>
      <c r="CV47" s="210"/>
      <c r="CW47" s="210"/>
      <c r="CX47" s="210"/>
      <c r="CY47" s="221">
        <f>+'Info recibida'!CY47/550</f>
        <v>10000</v>
      </c>
      <c r="CZ47" s="222"/>
      <c r="DA47" s="514">
        <f t="shared" si="14"/>
        <v>4.3938801851714982E-5</v>
      </c>
    </row>
    <row r="48" spans="2:105" ht="26.1" customHeight="1" x14ac:dyDescent="0.25">
      <c r="B48" s="143" t="s">
        <v>45</v>
      </c>
      <c r="C48" s="144" t="s">
        <v>355</v>
      </c>
      <c r="D48" s="59" t="s">
        <v>4</v>
      </c>
      <c r="E48" s="145"/>
      <c r="F48" s="60"/>
      <c r="G48" s="61"/>
      <c r="H48" s="62"/>
      <c r="I48" s="62"/>
      <c r="J48" s="147" t="s">
        <v>254</v>
      </c>
      <c r="K48" s="148" t="s">
        <v>255</v>
      </c>
      <c r="L48" s="149" t="s">
        <v>256</v>
      </c>
      <c r="N48" s="143" t="s">
        <v>45</v>
      </c>
      <c r="O48" s="150"/>
      <c r="P48" s="145"/>
      <c r="Q48" s="145"/>
      <c r="R48" s="145"/>
      <c r="S48" s="145"/>
      <c r="T48" s="145"/>
      <c r="U48" s="145"/>
      <c r="V48" s="145"/>
      <c r="W48" s="145"/>
      <c r="X48" s="145"/>
      <c r="Y48" s="145"/>
      <c r="Z48" s="145"/>
      <c r="AA48" s="145"/>
      <c r="AB48" s="145"/>
      <c r="AC48" s="145"/>
      <c r="AD48" s="145"/>
      <c r="AE48" s="151"/>
      <c r="AF48" s="150"/>
      <c r="AG48" s="145"/>
      <c r="AH48" s="145"/>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254"/>
      <c r="BF48" s="150"/>
      <c r="BG48" s="154" t="s">
        <v>355</v>
      </c>
      <c r="BH48" s="155"/>
      <c r="BI48" s="487">
        <f>+'Info recibida'!BJ48/550</f>
        <v>54545.454545454544</v>
      </c>
      <c r="BJ48" s="152">
        <f>+'Info recibida'!BK48/550</f>
        <v>38181.818181818184</v>
      </c>
      <c r="BK48" s="152">
        <f>+'Info recibida'!BL48/550</f>
        <v>20000</v>
      </c>
      <c r="BL48" s="152">
        <f>+'Info recibida'!BM48/550</f>
        <v>20000</v>
      </c>
      <c r="BM48" s="152">
        <f>+'Info recibida'!BN48/550</f>
        <v>20000</v>
      </c>
      <c r="BN48" s="152">
        <f>+'Info recibida'!BO48/550</f>
        <v>20000</v>
      </c>
      <c r="BO48" s="152">
        <f>+'Info recibida'!BP48/550</f>
        <v>20000</v>
      </c>
      <c r="BP48" s="152">
        <f>+'Info recibida'!BQ48/550</f>
        <v>20000</v>
      </c>
      <c r="BQ48" s="152">
        <f>+'Info recibida'!BR48/550</f>
        <v>20000</v>
      </c>
      <c r="BR48" s="152">
        <f>+'Info recibida'!BS48/550</f>
        <v>20000</v>
      </c>
      <c r="BS48" s="152">
        <f>+'Info recibida'!BT48/550</f>
        <v>198181.81818181818</v>
      </c>
      <c r="BT48" s="145"/>
      <c r="BU48" s="145"/>
      <c r="BV48" s="145"/>
      <c r="BW48" s="159"/>
      <c r="BX48" s="157">
        <f>+'Info recibida'!BY48/550</f>
        <v>25454.545454545456</v>
      </c>
      <c r="BY48" s="152">
        <f>+'Info recibida'!BZ48/550</f>
        <v>27272.727272727272</v>
      </c>
      <c r="BZ48" s="152">
        <f>+'Info recibida'!CA48/550</f>
        <v>44545.454545454544</v>
      </c>
      <c r="CA48" s="152">
        <f>+'Info recibida'!CB48/550</f>
        <v>39090.909090909088</v>
      </c>
      <c r="CB48" s="152">
        <f>+'Info recibida'!CC48/550</f>
        <v>34545.454545454544</v>
      </c>
      <c r="CC48" s="152">
        <f>+'Info recibida'!CD48/550</f>
        <v>34545.454545454544</v>
      </c>
      <c r="CD48" s="152">
        <f>+'Info recibida'!CE48/550</f>
        <v>34545.454545454544</v>
      </c>
      <c r="CE48" s="152">
        <f>+'Info recibida'!CF48/550</f>
        <v>34545.454545454544</v>
      </c>
      <c r="CF48" s="487">
        <f>+'Info recibida'!CG48/550</f>
        <v>34545.454545454544</v>
      </c>
      <c r="CG48" s="156">
        <f t="shared" si="15"/>
        <v>309090.909090909</v>
      </c>
      <c r="CH48" s="157">
        <f>+'Info recibida'!CH48/550</f>
        <v>-12727.272727272728</v>
      </c>
      <c r="CI48" s="152">
        <f>+'Info recibida'!CI48/550</f>
        <v>7272.727272727273</v>
      </c>
      <c r="CJ48" s="152">
        <f>+'Info recibida'!CJ48/550</f>
        <v>24545.454545454544</v>
      </c>
      <c r="CK48" s="152">
        <f>+'Info recibida'!CK48/550</f>
        <v>19090.909090909092</v>
      </c>
      <c r="CL48" s="152">
        <f>+'Info recibida'!CL48/550</f>
        <v>14545.454545454546</v>
      </c>
      <c r="CM48" s="152">
        <f>+'Info recibida'!CM48/550</f>
        <v>14545.454545454546</v>
      </c>
      <c r="CN48" s="152">
        <f>+'Info recibida'!CN48/550</f>
        <v>14545.454545454546</v>
      </c>
      <c r="CO48" s="152">
        <f>+'Info recibida'!CO48/550</f>
        <v>14545.454545454546</v>
      </c>
      <c r="CP48" s="152">
        <f>+'Info recibida'!CP48/550</f>
        <v>14545.454545454546</v>
      </c>
      <c r="CQ48" s="156">
        <f>+'Info recibida'!CQ48/550</f>
        <v>110909.09090909091</v>
      </c>
      <c r="CR48" s="158"/>
      <c r="CS48" s="160">
        <f>SUM(CS49)</f>
        <v>0</v>
      </c>
      <c r="CT48" s="145"/>
      <c r="CU48" s="145"/>
      <c r="CV48" s="145"/>
      <c r="CW48" s="145"/>
      <c r="CX48" s="145"/>
      <c r="CY48" s="161">
        <f>+'Info recibida'!CY48/550</f>
        <v>110909.09090909091</v>
      </c>
      <c r="CZ48" s="151"/>
      <c r="DA48" s="514"/>
    </row>
    <row r="49" spans="2:105" ht="26.1" customHeight="1" x14ac:dyDescent="0.25">
      <c r="B49" s="204" t="s">
        <v>510</v>
      </c>
      <c r="C49" s="205" t="s">
        <v>355</v>
      </c>
      <c r="D49" s="47" t="s">
        <v>4</v>
      </c>
      <c r="E49" s="48" t="s">
        <v>404</v>
      </c>
      <c r="F49" s="48" t="s">
        <v>394</v>
      </c>
      <c r="G49" s="50" t="s">
        <v>115</v>
      </c>
      <c r="H49" s="49"/>
      <c r="I49" s="49" t="s">
        <v>234</v>
      </c>
      <c r="J49" s="206"/>
      <c r="K49" s="207"/>
      <c r="L49" s="208"/>
      <c r="N49" s="204" t="s">
        <v>510</v>
      </c>
      <c r="O49" s="47" t="s">
        <v>4</v>
      </c>
      <c r="P49" s="48" t="s">
        <v>451</v>
      </c>
      <c r="Q49" s="50"/>
      <c r="R49" s="50"/>
      <c r="S49" s="50"/>
      <c r="T49" s="50"/>
      <c r="U49" s="50"/>
      <c r="V49" s="50"/>
      <c r="W49" s="50" t="s">
        <v>307</v>
      </c>
      <c r="X49" s="50"/>
      <c r="Y49" s="50"/>
      <c r="Z49" s="50"/>
      <c r="AA49" s="50"/>
      <c r="AB49" s="50"/>
      <c r="AC49" s="50"/>
      <c r="AD49" s="50"/>
      <c r="AE49" s="259"/>
      <c r="AF49" s="47" t="s">
        <v>308</v>
      </c>
      <c r="AG49" s="210" t="s">
        <v>309</v>
      </c>
      <c r="AH49" s="267" t="s">
        <v>310</v>
      </c>
      <c r="AI49" s="215">
        <v>0.3</v>
      </c>
      <c r="AJ49" s="170">
        <v>1</v>
      </c>
      <c r="AK49" s="170">
        <v>1</v>
      </c>
      <c r="AL49" s="170">
        <v>1</v>
      </c>
      <c r="AM49" s="170">
        <v>1</v>
      </c>
      <c r="AN49" s="170">
        <v>1</v>
      </c>
      <c r="AO49" s="170">
        <v>1</v>
      </c>
      <c r="AP49" s="170">
        <v>1</v>
      </c>
      <c r="AQ49" s="170">
        <v>1</v>
      </c>
      <c r="AR49" s="170">
        <v>1</v>
      </c>
      <c r="AS49" s="170">
        <v>4</v>
      </c>
      <c r="AT49" s="170">
        <v>10</v>
      </c>
      <c r="AU49" s="170">
        <v>2</v>
      </c>
      <c r="AV49" s="170">
        <v>4</v>
      </c>
      <c r="AW49" s="170">
        <v>5</v>
      </c>
      <c r="AX49" s="170">
        <v>4</v>
      </c>
      <c r="AY49" s="170">
        <v>4</v>
      </c>
      <c r="AZ49" s="170">
        <v>4</v>
      </c>
      <c r="BA49" s="170">
        <v>4</v>
      </c>
      <c r="BB49" s="170">
        <v>4</v>
      </c>
      <c r="BC49" s="170">
        <v>4</v>
      </c>
      <c r="BD49" s="170">
        <v>10</v>
      </c>
      <c r="BE49" s="260">
        <v>20</v>
      </c>
      <c r="BF49" s="206" t="s">
        <v>311</v>
      </c>
      <c r="BG49" s="68" t="s">
        <v>312</v>
      </c>
      <c r="BH49" s="48" t="s">
        <v>313</v>
      </c>
      <c r="BI49" s="252">
        <f>+'Info recibida'!BJ49/550</f>
        <v>54545.454545454544</v>
      </c>
      <c r="BJ49" s="170">
        <f>+'Info recibida'!BK49/550</f>
        <v>38181.818181818184</v>
      </c>
      <c r="BK49" s="170">
        <f>+'Info recibida'!BL49/550</f>
        <v>20000</v>
      </c>
      <c r="BL49" s="170">
        <f>+'Info recibida'!BM49/550</f>
        <v>20000</v>
      </c>
      <c r="BM49" s="170">
        <f>+'Info recibida'!BN49/550</f>
        <v>20000</v>
      </c>
      <c r="BN49" s="170">
        <f>+'Info recibida'!BO49/550</f>
        <v>20000</v>
      </c>
      <c r="BO49" s="170">
        <f>+'Info recibida'!BP49/550</f>
        <v>20000</v>
      </c>
      <c r="BP49" s="170">
        <f>+'Info recibida'!BQ49/550</f>
        <v>20000</v>
      </c>
      <c r="BQ49" s="170">
        <f>+'Info recibida'!BR49/550</f>
        <v>20000</v>
      </c>
      <c r="BR49" s="170">
        <f>+'Info recibida'!BS49/550</f>
        <v>20000</v>
      </c>
      <c r="BS49" s="170">
        <f>+'Info recibida'!BT49/550</f>
        <v>198181.81818181818</v>
      </c>
      <c r="BT49" s="215">
        <v>0.85</v>
      </c>
      <c r="BU49" s="48"/>
      <c r="BV49" s="215">
        <v>0.15</v>
      </c>
      <c r="BW49" s="243" t="s">
        <v>388</v>
      </c>
      <c r="BX49" s="310">
        <f>+'Info recibida'!BY49/550</f>
        <v>25454.545454545456</v>
      </c>
      <c r="BY49" s="311">
        <f>+'Info recibida'!BZ49/550</f>
        <v>27272.727272727272</v>
      </c>
      <c r="BZ49" s="311">
        <f>+'Info recibida'!CA49/550</f>
        <v>44545.454545454544</v>
      </c>
      <c r="CA49" s="170">
        <f>+'Info recibida'!CB49/550</f>
        <v>39090.909090909088</v>
      </c>
      <c r="CB49" s="170">
        <f>+'Info recibida'!CC49/550</f>
        <v>34545.454545454544</v>
      </c>
      <c r="CC49" s="170">
        <f>+'Info recibida'!CD49/550</f>
        <v>34545.454545454544</v>
      </c>
      <c r="CD49" s="170">
        <f>+'Info recibida'!CE49/550</f>
        <v>34545.454545454544</v>
      </c>
      <c r="CE49" s="170">
        <f>+'Info recibida'!CF49/550</f>
        <v>34545.454545454544</v>
      </c>
      <c r="CF49" s="218">
        <f>+'Info recibida'!CG49/550</f>
        <v>34545.454545454544</v>
      </c>
      <c r="CG49" s="213">
        <f t="shared" si="15"/>
        <v>309090.909090909</v>
      </c>
      <c r="CH49" s="212">
        <f>+'Info recibida'!CH49/550</f>
        <v>-12727.272727272728</v>
      </c>
      <c r="CI49" s="170">
        <f>+'Info recibida'!CI49/550</f>
        <v>7272.727272727273</v>
      </c>
      <c r="CJ49" s="170">
        <f>+'Info recibida'!CJ49/550</f>
        <v>24545.454545454544</v>
      </c>
      <c r="CK49" s="170">
        <f>+'Info recibida'!CK49/550</f>
        <v>19090.909090909092</v>
      </c>
      <c r="CL49" s="170">
        <f>+'Info recibida'!CL49/550</f>
        <v>14545.454545454546</v>
      </c>
      <c r="CM49" s="170">
        <f>+'Info recibida'!CM49/550</f>
        <v>14545.454545454546</v>
      </c>
      <c r="CN49" s="170">
        <f>+'Info recibida'!CN49/550</f>
        <v>14545.454545454546</v>
      </c>
      <c r="CO49" s="170">
        <f>+'Info recibida'!CO49/550</f>
        <v>14545.454545454546</v>
      </c>
      <c r="CP49" s="170">
        <f>+'Info recibida'!CP49/550</f>
        <v>14545.454545454546</v>
      </c>
      <c r="CQ49" s="213">
        <f>+'Info recibida'!CQ49/550</f>
        <v>110909.09090909091</v>
      </c>
      <c r="CR49" s="70"/>
      <c r="CS49" s="71"/>
      <c r="CT49" s="71"/>
      <c r="CU49" s="210"/>
      <c r="CV49" s="210"/>
      <c r="CW49" s="210"/>
      <c r="CX49" s="210"/>
      <c r="CY49" s="221">
        <f>+'Info recibida'!CY49/550</f>
        <v>110909.09090909091</v>
      </c>
      <c r="CZ49" s="222"/>
      <c r="DA49" s="514">
        <f t="shared" si="14"/>
        <v>4.873212569008389E-4</v>
      </c>
    </row>
    <row r="50" spans="2:105" ht="26.1" customHeight="1" x14ac:dyDescent="0.25">
      <c r="B50" s="143" t="s">
        <v>46</v>
      </c>
      <c r="C50" s="144" t="s">
        <v>355</v>
      </c>
      <c r="D50" s="59" t="s">
        <v>2</v>
      </c>
      <c r="E50" s="145"/>
      <c r="F50" s="60"/>
      <c r="G50" s="61"/>
      <c r="H50" s="62"/>
      <c r="I50" s="62"/>
      <c r="J50" s="147" t="s">
        <v>255</v>
      </c>
      <c r="K50" s="148" t="s">
        <v>256</v>
      </c>
      <c r="L50" s="149"/>
      <c r="N50" s="143" t="s">
        <v>46</v>
      </c>
      <c r="O50" s="150"/>
      <c r="P50" s="145"/>
      <c r="Q50" s="145"/>
      <c r="R50" s="145"/>
      <c r="S50" s="145"/>
      <c r="T50" s="145"/>
      <c r="U50" s="145"/>
      <c r="V50" s="145"/>
      <c r="W50" s="145"/>
      <c r="X50" s="145"/>
      <c r="Y50" s="145"/>
      <c r="Z50" s="145"/>
      <c r="AA50" s="145"/>
      <c r="AB50" s="145"/>
      <c r="AC50" s="145"/>
      <c r="AD50" s="145"/>
      <c r="AE50" s="151"/>
      <c r="AF50" s="150"/>
      <c r="AG50" s="145"/>
      <c r="AH50" s="145"/>
      <c r="AI50" s="145"/>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254"/>
      <c r="BF50" s="150"/>
      <c r="BG50" s="154" t="s">
        <v>355</v>
      </c>
      <c r="BH50" s="155"/>
      <c r="BI50" s="487">
        <f>+'Info recibida'!BJ50/550</f>
        <v>0</v>
      </c>
      <c r="BJ50" s="152">
        <f>+'Info recibida'!BK50/550</f>
        <v>0</v>
      </c>
      <c r="BK50" s="152">
        <f>+'Info recibida'!BL50/550</f>
        <v>0</v>
      </c>
      <c r="BL50" s="152">
        <f>+'Info recibida'!BM50/550</f>
        <v>0</v>
      </c>
      <c r="BM50" s="152">
        <f>+'Info recibida'!BN50/550</f>
        <v>0</v>
      </c>
      <c r="BN50" s="152">
        <f>+'Info recibida'!BO50/550</f>
        <v>0</v>
      </c>
      <c r="BO50" s="152">
        <f>+'Info recibida'!BP50/550</f>
        <v>0</v>
      </c>
      <c r="BP50" s="152">
        <f>+'Info recibida'!BQ50/550</f>
        <v>0</v>
      </c>
      <c r="BQ50" s="152">
        <f>+'Info recibida'!BR50/550</f>
        <v>0</v>
      </c>
      <c r="BR50" s="152">
        <f>+'Info recibida'!BS50/550</f>
        <v>0</v>
      </c>
      <c r="BS50" s="152">
        <f>+'Info recibida'!BT50/550</f>
        <v>0</v>
      </c>
      <c r="BT50" s="145"/>
      <c r="BU50" s="145"/>
      <c r="BV50" s="145"/>
      <c r="BW50" s="159"/>
      <c r="BX50" s="157">
        <f>+'Info recibida'!BY50/550</f>
        <v>3272.7272727272725</v>
      </c>
      <c r="BY50" s="152">
        <f>+'Info recibida'!BZ50/550</f>
        <v>3272.7272727272725</v>
      </c>
      <c r="BZ50" s="152">
        <f>+'Info recibida'!CA50/550</f>
        <v>3272.7272727272725</v>
      </c>
      <c r="CA50" s="152">
        <f>+'Info recibida'!CB50/550</f>
        <v>3272.7272727272725</v>
      </c>
      <c r="CB50" s="152">
        <f>+'Info recibida'!CC50/550</f>
        <v>3272.7272727272725</v>
      </c>
      <c r="CC50" s="152">
        <f>+'Info recibida'!CD50/550</f>
        <v>3272.7272727272725</v>
      </c>
      <c r="CD50" s="152">
        <f>+'Info recibida'!CE50/550</f>
        <v>3272.7272727272725</v>
      </c>
      <c r="CE50" s="152">
        <f>+'Info recibida'!CF50/550</f>
        <v>3272.7272727272725</v>
      </c>
      <c r="CF50" s="487">
        <f>+'Info recibida'!CG50/550</f>
        <v>3272.7272727272725</v>
      </c>
      <c r="CG50" s="156">
        <f t="shared" si="15"/>
        <v>29454.545454545452</v>
      </c>
      <c r="CH50" s="157">
        <f>+'Info recibida'!CH50/550</f>
        <v>3272.7272727272725</v>
      </c>
      <c r="CI50" s="152">
        <f>+'Info recibida'!CI50/550</f>
        <v>3272.7272727272725</v>
      </c>
      <c r="CJ50" s="152">
        <f>+'Info recibida'!CJ50/550</f>
        <v>3272.7272727272725</v>
      </c>
      <c r="CK50" s="152">
        <f>+'Info recibida'!CK50/550</f>
        <v>3272.7272727272725</v>
      </c>
      <c r="CL50" s="152">
        <f>+'Info recibida'!CL50/550</f>
        <v>3272.7272727272725</v>
      </c>
      <c r="CM50" s="152">
        <f>+'Info recibida'!CM50/550</f>
        <v>3272.7272727272725</v>
      </c>
      <c r="CN50" s="152">
        <f>+'Info recibida'!CN50/550</f>
        <v>3272.7272727272725</v>
      </c>
      <c r="CO50" s="152">
        <f>+'Info recibida'!CO50/550</f>
        <v>3272.7272727272725</v>
      </c>
      <c r="CP50" s="152">
        <f>+'Info recibida'!CP50/550</f>
        <v>3272.7272727272725</v>
      </c>
      <c r="CQ50" s="156">
        <f>+'Info recibida'!CQ50/550</f>
        <v>29454.545454545456</v>
      </c>
      <c r="CR50" s="158"/>
      <c r="CS50" s="160">
        <f>SUM(CS51)</f>
        <v>0</v>
      </c>
      <c r="CT50" s="145"/>
      <c r="CU50" s="145"/>
      <c r="CV50" s="145"/>
      <c r="CW50" s="145"/>
      <c r="CX50" s="145"/>
      <c r="CY50" s="161">
        <f>+'Info recibida'!CY50/550</f>
        <v>29454.545454545456</v>
      </c>
      <c r="CZ50" s="151"/>
      <c r="DA50" s="514"/>
    </row>
    <row r="51" spans="2:105" ht="26.1" customHeight="1" x14ac:dyDescent="0.25">
      <c r="B51" s="312" t="s">
        <v>47</v>
      </c>
      <c r="C51" s="205" t="s">
        <v>355</v>
      </c>
      <c r="D51" s="47" t="s">
        <v>2</v>
      </c>
      <c r="E51" s="77" t="s">
        <v>403</v>
      </c>
      <c r="F51" s="48" t="s">
        <v>393</v>
      </c>
      <c r="G51" s="48" t="s">
        <v>102</v>
      </c>
      <c r="H51" s="49"/>
      <c r="I51" s="49" t="s">
        <v>230</v>
      </c>
      <c r="J51" s="206"/>
      <c r="K51" s="207"/>
      <c r="L51" s="208"/>
      <c r="N51" s="312" t="s">
        <v>47</v>
      </c>
      <c r="O51" s="313" t="s">
        <v>3</v>
      </c>
      <c r="P51" s="77" t="s">
        <v>403</v>
      </c>
      <c r="Q51" s="77"/>
      <c r="R51" s="77" t="s">
        <v>314</v>
      </c>
      <c r="S51" s="77" t="s">
        <v>314</v>
      </c>
      <c r="T51" s="77"/>
      <c r="U51" s="77" t="s">
        <v>314</v>
      </c>
      <c r="V51" s="77"/>
      <c r="W51" s="77" t="s">
        <v>307</v>
      </c>
      <c r="X51" s="77"/>
      <c r="Y51" s="77"/>
      <c r="Z51" s="77"/>
      <c r="AA51" s="77"/>
      <c r="AB51" s="77" t="s">
        <v>314</v>
      </c>
      <c r="AC51" s="77"/>
      <c r="AD51" s="77"/>
      <c r="AE51" s="314"/>
      <c r="AF51" s="313" t="s">
        <v>315</v>
      </c>
      <c r="AG51" s="315" t="s">
        <v>319</v>
      </c>
      <c r="AH51" s="316" t="s">
        <v>484</v>
      </c>
      <c r="AI51" s="77"/>
      <c r="AJ51" s="317">
        <v>0</v>
      </c>
      <c r="AK51" s="317">
        <v>0</v>
      </c>
      <c r="AL51" s="317">
        <v>0</v>
      </c>
      <c r="AM51" s="317">
        <v>0</v>
      </c>
      <c r="AN51" s="317">
        <v>0</v>
      </c>
      <c r="AO51" s="317">
        <v>0</v>
      </c>
      <c r="AP51" s="317">
        <v>0</v>
      </c>
      <c r="AQ51" s="317">
        <v>0</v>
      </c>
      <c r="AR51" s="317">
        <v>0</v>
      </c>
      <c r="AS51" s="317"/>
      <c r="AT51" s="317"/>
      <c r="AU51" s="317">
        <v>6</v>
      </c>
      <c r="AV51" s="317">
        <v>6</v>
      </c>
      <c r="AW51" s="317">
        <v>6</v>
      </c>
      <c r="AX51" s="317">
        <v>6</v>
      </c>
      <c r="AY51" s="317">
        <v>6</v>
      </c>
      <c r="AZ51" s="317">
        <v>6</v>
      </c>
      <c r="BA51" s="317">
        <v>6</v>
      </c>
      <c r="BB51" s="317">
        <v>6</v>
      </c>
      <c r="BC51" s="317">
        <v>6</v>
      </c>
      <c r="BD51" s="317"/>
      <c r="BE51" s="318"/>
      <c r="BF51" s="319" t="s">
        <v>4</v>
      </c>
      <c r="BG51" s="68" t="s">
        <v>312</v>
      </c>
      <c r="BH51" s="77" t="s">
        <v>323</v>
      </c>
      <c r="BI51" s="494">
        <f>+'Info recibida'!BJ51/550</f>
        <v>0</v>
      </c>
      <c r="BJ51" s="317">
        <f>+'Info recibida'!BK51/550</f>
        <v>0</v>
      </c>
      <c r="BK51" s="317">
        <f>+'Info recibida'!BL51/550</f>
        <v>0</v>
      </c>
      <c r="BL51" s="317">
        <f>+'Info recibida'!BM51/550</f>
        <v>0</v>
      </c>
      <c r="BM51" s="317">
        <f>+'Info recibida'!BN51/550</f>
        <v>0</v>
      </c>
      <c r="BN51" s="317">
        <f>+'Info recibida'!BO51/550</f>
        <v>0</v>
      </c>
      <c r="BO51" s="317">
        <f>+'Info recibida'!BP51/550</f>
        <v>0</v>
      </c>
      <c r="BP51" s="317">
        <f>+'Info recibida'!BQ51/550</f>
        <v>0</v>
      </c>
      <c r="BQ51" s="317">
        <f>+'Info recibida'!BR51/550</f>
        <v>0</v>
      </c>
      <c r="BR51" s="317">
        <f>+'Info recibida'!BS51/550</f>
        <v>0</v>
      </c>
      <c r="BS51" s="170">
        <f>+'Info recibida'!BT51/550</f>
        <v>0</v>
      </c>
      <c r="BT51" s="77"/>
      <c r="BU51" s="77"/>
      <c r="BV51" s="77"/>
      <c r="BW51" s="323"/>
      <c r="BX51" s="321">
        <f>+'Info recibida'!BY51/550</f>
        <v>3272.7272727272725</v>
      </c>
      <c r="BY51" s="317">
        <f>+'Info recibida'!BZ51/550</f>
        <v>3272.7272727272725</v>
      </c>
      <c r="BZ51" s="317">
        <f>+'Info recibida'!CA51/550</f>
        <v>3272.7272727272725</v>
      </c>
      <c r="CA51" s="317">
        <f>+'Info recibida'!CB51/550</f>
        <v>3272.7272727272725</v>
      </c>
      <c r="CB51" s="317">
        <f>+'Info recibida'!CC51/550</f>
        <v>3272.7272727272725</v>
      </c>
      <c r="CC51" s="317">
        <f>+'Info recibida'!CD51/550</f>
        <v>3272.7272727272725</v>
      </c>
      <c r="CD51" s="317">
        <f>+'Info recibida'!CE51/550</f>
        <v>3272.7272727272725</v>
      </c>
      <c r="CE51" s="317">
        <f>+'Info recibida'!CF51/550</f>
        <v>3272.7272727272725</v>
      </c>
      <c r="CF51" s="501">
        <f>+'Info recibida'!CG51/550</f>
        <v>3272.7272727272725</v>
      </c>
      <c r="CG51" s="213">
        <f t="shared" si="15"/>
        <v>29454.545454545452</v>
      </c>
      <c r="CH51" s="217">
        <f>+'Info recibida'!CH51/550</f>
        <v>3272.7272727272725</v>
      </c>
      <c r="CI51" s="170">
        <f>+'Info recibida'!CI51/550</f>
        <v>3272.7272727272725</v>
      </c>
      <c r="CJ51" s="170">
        <f>+'Info recibida'!CJ51/550</f>
        <v>3272.7272727272725</v>
      </c>
      <c r="CK51" s="170">
        <f>+'Info recibida'!CK51/550</f>
        <v>3272.7272727272725</v>
      </c>
      <c r="CL51" s="170">
        <f>+'Info recibida'!CL51/550</f>
        <v>3272.7272727272725</v>
      </c>
      <c r="CM51" s="170">
        <f>+'Info recibida'!CM51/550</f>
        <v>3272.7272727272725</v>
      </c>
      <c r="CN51" s="170">
        <f>+'Info recibida'!CN51/550</f>
        <v>3272.7272727272725</v>
      </c>
      <c r="CO51" s="170">
        <f>+'Info recibida'!CO51/550</f>
        <v>3272.7272727272725</v>
      </c>
      <c r="CP51" s="170">
        <f>+'Info recibida'!CP51/550</f>
        <v>3272.7272727272725</v>
      </c>
      <c r="CQ51" s="213">
        <f>+'Info recibida'!CQ51/550</f>
        <v>29454.545454545456</v>
      </c>
      <c r="CR51" s="72"/>
      <c r="CS51" s="73"/>
      <c r="CT51" s="73"/>
      <c r="CU51" s="315"/>
      <c r="CV51" s="315"/>
      <c r="CW51" s="315"/>
      <c r="CX51" s="315"/>
      <c r="CY51" s="221">
        <f>+'Info recibida'!CY51/550</f>
        <v>29454.545454545456</v>
      </c>
      <c r="CZ51" s="327"/>
      <c r="DA51" s="514">
        <f t="shared" si="14"/>
        <v>1.2941974363596051E-4</v>
      </c>
    </row>
    <row r="52" spans="2:105" ht="26.1" customHeight="1" x14ac:dyDescent="0.25">
      <c r="B52" s="286" t="s">
        <v>48</v>
      </c>
      <c r="C52" s="287" t="s">
        <v>355</v>
      </c>
      <c r="D52" s="63" t="s">
        <v>490</v>
      </c>
      <c r="E52" s="288"/>
      <c r="F52" s="64"/>
      <c r="G52" s="65"/>
      <c r="H52" s="66"/>
      <c r="I52" s="66"/>
      <c r="J52" s="289" t="s">
        <v>258</v>
      </c>
      <c r="K52" s="290"/>
      <c r="L52" s="291"/>
      <c r="N52" s="286" t="s">
        <v>48</v>
      </c>
      <c r="O52" s="292"/>
      <c r="P52" s="288"/>
      <c r="Q52" s="288"/>
      <c r="R52" s="288"/>
      <c r="S52" s="288"/>
      <c r="T52" s="288"/>
      <c r="U52" s="288"/>
      <c r="V52" s="288"/>
      <c r="W52" s="288"/>
      <c r="X52" s="288"/>
      <c r="Y52" s="288"/>
      <c r="Z52" s="288"/>
      <c r="AA52" s="288"/>
      <c r="AB52" s="288"/>
      <c r="AC52" s="288"/>
      <c r="AD52" s="288"/>
      <c r="AE52" s="293"/>
      <c r="AF52" s="292"/>
      <c r="AG52" s="288"/>
      <c r="AH52" s="288"/>
      <c r="AI52" s="288"/>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5"/>
      <c r="BF52" s="292"/>
      <c r="BG52" s="288"/>
      <c r="BH52" s="296"/>
      <c r="BI52" s="495">
        <f>+'Info recibida'!BJ52/550</f>
        <v>0</v>
      </c>
      <c r="BJ52" s="294">
        <f>+'Info recibida'!BK52/550</f>
        <v>0</v>
      </c>
      <c r="BK52" s="294">
        <f>+'Info recibida'!BL52/550</f>
        <v>181.81818181818181</v>
      </c>
      <c r="BL52" s="294">
        <f>+'Info recibida'!BM52/550</f>
        <v>454.54545454545456</v>
      </c>
      <c r="BM52" s="294">
        <f>+'Info recibida'!BN52/550</f>
        <v>454.54545454545456</v>
      </c>
      <c r="BN52" s="294">
        <f>+'Info recibida'!BO52/550</f>
        <v>454.54545454545456</v>
      </c>
      <c r="BO52" s="294">
        <f>+'Info recibida'!BP52/550</f>
        <v>454.54545454545456</v>
      </c>
      <c r="BP52" s="294">
        <f>+'Info recibida'!BQ52/550</f>
        <v>454.54545454545456</v>
      </c>
      <c r="BQ52" s="294">
        <f>+'Info recibida'!BR52/550</f>
        <v>454.54545454545456</v>
      </c>
      <c r="BR52" s="294">
        <f>+'Info recibida'!BS52/550</f>
        <v>454.54545454545456</v>
      </c>
      <c r="BS52" s="294">
        <f>+'Info recibida'!BT52/550</f>
        <v>3363.6363636363635</v>
      </c>
      <c r="BT52" s="288"/>
      <c r="BU52" s="288"/>
      <c r="BV52" s="288"/>
      <c r="BW52" s="301"/>
      <c r="BX52" s="298">
        <f>+'Info recibida'!BY52/550</f>
        <v>18181.81818181818</v>
      </c>
      <c r="BY52" s="294">
        <f>+'Info recibida'!BZ52/550</f>
        <v>23636.363636363636</v>
      </c>
      <c r="BZ52" s="294">
        <f>+'Info recibida'!CA52/550</f>
        <v>21818.18181818182</v>
      </c>
      <c r="CA52" s="294">
        <f>+'Info recibida'!CB52/550</f>
        <v>0</v>
      </c>
      <c r="CB52" s="294">
        <f>+'Info recibida'!CC52/550</f>
        <v>21818.18181818182</v>
      </c>
      <c r="CC52" s="294">
        <f>+'Info recibida'!CD52/550</f>
        <v>0</v>
      </c>
      <c r="CD52" s="294">
        <f>+'Info recibida'!CE52/550</f>
        <v>21818.18181818182</v>
      </c>
      <c r="CE52" s="294">
        <f>+'Info recibida'!CF52/550</f>
        <v>0</v>
      </c>
      <c r="CF52" s="495">
        <f>+'Info recibida'!CG52/550</f>
        <v>21818.18181818182</v>
      </c>
      <c r="CG52" s="299">
        <f t="shared" si="15"/>
        <v>129090.9090909091</v>
      </c>
      <c r="CH52" s="298">
        <f>+'Info recibida'!CH52/550</f>
        <v>18181.81818181818</v>
      </c>
      <c r="CI52" s="294">
        <f>+'Info recibida'!CI52/550</f>
        <v>23454.545454545456</v>
      </c>
      <c r="CJ52" s="294">
        <f>+'Info recibida'!CJ52/550</f>
        <v>21363.636363636364</v>
      </c>
      <c r="CK52" s="294">
        <f>+'Info recibida'!CK52/550</f>
        <v>-454.54545454545456</v>
      </c>
      <c r="CL52" s="294">
        <f>+'Info recibida'!CL52/550</f>
        <v>21363.636363636364</v>
      </c>
      <c r="CM52" s="294">
        <f>+'Info recibida'!CM52/550</f>
        <v>-454.54545454545456</v>
      </c>
      <c r="CN52" s="294">
        <f>+'Info recibida'!CN52/550</f>
        <v>21363.636363636364</v>
      </c>
      <c r="CO52" s="294">
        <f>+'Info recibida'!CO52/550</f>
        <v>-454.54545454545456</v>
      </c>
      <c r="CP52" s="294">
        <f>+'Info recibida'!CP52/550</f>
        <v>21363.636363636364</v>
      </c>
      <c r="CQ52" s="299">
        <f>+'Info recibida'!CQ52/550</f>
        <v>125727.27272727272</v>
      </c>
      <c r="CR52" s="300"/>
      <c r="CS52" s="302">
        <f>SUM(CS53)</f>
        <v>0</v>
      </c>
      <c r="CT52" s="288"/>
      <c r="CU52" s="288"/>
      <c r="CV52" s="288"/>
      <c r="CW52" s="288"/>
      <c r="CX52" s="288"/>
      <c r="CY52" s="303">
        <f>+'Info recibida'!CY52/550</f>
        <v>125727.27272727272</v>
      </c>
      <c r="CZ52" s="293"/>
      <c r="DA52" s="514"/>
    </row>
    <row r="53" spans="2:105" ht="26.1" customHeight="1" x14ac:dyDescent="0.25">
      <c r="B53" s="204" t="s">
        <v>49</v>
      </c>
      <c r="C53" s="205" t="s">
        <v>355</v>
      </c>
      <c r="D53" s="47" t="s">
        <v>490</v>
      </c>
      <c r="E53" s="255"/>
      <c r="F53" s="48" t="s">
        <v>399</v>
      </c>
      <c r="G53" s="48" t="s">
        <v>113</v>
      </c>
      <c r="H53" s="49" t="s">
        <v>216</v>
      </c>
      <c r="I53" s="49" t="s">
        <v>230</v>
      </c>
      <c r="J53" s="206"/>
      <c r="K53" s="207"/>
      <c r="L53" s="208"/>
      <c r="N53" s="204" t="s">
        <v>49</v>
      </c>
      <c r="O53" s="47" t="s">
        <v>50</v>
      </c>
      <c r="P53" s="48" t="s">
        <v>451</v>
      </c>
      <c r="Q53" s="48" t="s">
        <v>314</v>
      </c>
      <c r="R53" s="48" t="s">
        <v>314</v>
      </c>
      <c r="S53" s="48" t="s">
        <v>314</v>
      </c>
      <c r="T53" s="48"/>
      <c r="U53" s="48" t="s">
        <v>314</v>
      </c>
      <c r="V53" s="48"/>
      <c r="W53" s="48" t="s">
        <v>307</v>
      </c>
      <c r="X53" s="48"/>
      <c r="Y53" s="48"/>
      <c r="Z53" s="48"/>
      <c r="AA53" s="48"/>
      <c r="AB53" s="48"/>
      <c r="AC53" s="48"/>
      <c r="AD53" s="48"/>
      <c r="AE53" s="209"/>
      <c r="AF53" s="47" t="s">
        <v>315</v>
      </c>
      <c r="AG53" s="210" t="s">
        <v>319</v>
      </c>
      <c r="AH53" s="97" t="s">
        <v>452</v>
      </c>
      <c r="AI53" s="77"/>
      <c r="AJ53" s="48"/>
      <c r="AK53" s="215">
        <v>0.02</v>
      </c>
      <c r="AL53" s="215">
        <v>0.02</v>
      </c>
      <c r="AM53" s="215">
        <v>0.05</v>
      </c>
      <c r="AN53" s="215">
        <v>0.05</v>
      </c>
      <c r="AO53" s="215">
        <v>0.05</v>
      </c>
      <c r="AP53" s="215">
        <v>0.05</v>
      </c>
      <c r="AQ53" s="215">
        <v>0.05</v>
      </c>
      <c r="AR53" s="215">
        <v>0.05</v>
      </c>
      <c r="AS53" s="48"/>
      <c r="AT53" s="48"/>
      <c r="AU53" s="215">
        <v>0.05</v>
      </c>
      <c r="AV53" s="215">
        <v>0.15</v>
      </c>
      <c r="AW53" s="215">
        <v>0.2</v>
      </c>
      <c r="AX53" s="215">
        <v>0.2</v>
      </c>
      <c r="AY53" s="215">
        <v>0.2</v>
      </c>
      <c r="AZ53" s="215">
        <v>0.2</v>
      </c>
      <c r="BA53" s="48"/>
      <c r="BB53" s="48"/>
      <c r="BC53" s="48"/>
      <c r="BD53" s="48"/>
      <c r="BE53" s="48"/>
      <c r="BF53" s="206" t="s">
        <v>446</v>
      </c>
      <c r="BG53" s="257" t="s">
        <v>349</v>
      </c>
      <c r="BH53" s="48" t="s">
        <v>313</v>
      </c>
      <c r="BI53" s="211">
        <f>+'Info recibida'!BJ53/550</f>
        <v>0</v>
      </c>
      <c r="BJ53" s="170">
        <f>+'Info recibida'!BK53/550</f>
        <v>0</v>
      </c>
      <c r="BK53" s="170">
        <f>+'Info recibida'!BL53/550</f>
        <v>181.81818181818181</v>
      </c>
      <c r="BL53" s="170">
        <f>+'Info recibida'!BM53/550</f>
        <v>454.54545454545456</v>
      </c>
      <c r="BM53" s="170">
        <f>+'Info recibida'!BN53/550</f>
        <v>454.54545454545456</v>
      </c>
      <c r="BN53" s="170">
        <f>+'Info recibida'!BO53/550</f>
        <v>454.54545454545456</v>
      </c>
      <c r="BO53" s="170">
        <f>+'Info recibida'!BP53/550</f>
        <v>454.54545454545456</v>
      </c>
      <c r="BP53" s="170">
        <f>+'Info recibida'!BQ53/550</f>
        <v>454.54545454545456</v>
      </c>
      <c r="BQ53" s="170">
        <f>+'Info recibida'!BR53/550</f>
        <v>454.54545454545456</v>
      </c>
      <c r="BR53" s="170">
        <f>+'Info recibida'!BS53/550</f>
        <v>454.54545454545456</v>
      </c>
      <c r="BS53" s="170">
        <f>+'Info recibida'!BT53/550</f>
        <v>3363.6363636363635</v>
      </c>
      <c r="BT53" s="504">
        <v>1</v>
      </c>
      <c r="BU53" s="48"/>
      <c r="BV53" s="48"/>
      <c r="BW53" s="243"/>
      <c r="BX53" s="212">
        <f>+'Info recibida'!BY53/550</f>
        <v>18181.81818181818</v>
      </c>
      <c r="BY53" s="170">
        <f>+'Info recibida'!BZ53/550</f>
        <v>23636.363636363636</v>
      </c>
      <c r="BZ53" s="170">
        <f>+'Info recibida'!CA53/550</f>
        <v>21818.18181818182</v>
      </c>
      <c r="CA53" s="170">
        <f>+'Info recibida'!CB53/550</f>
        <v>0</v>
      </c>
      <c r="CB53" s="170">
        <f>+'Info recibida'!CC53/550</f>
        <v>21818.18181818182</v>
      </c>
      <c r="CC53" s="170">
        <f>+'Info recibida'!CD53/550</f>
        <v>0</v>
      </c>
      <c r="CD53" s="170">
        <f>+'Info recibida'!CE53/550</f>
        <v>21818.18181818182</v>
      </c>
      <c r="CE53" s="170">
        <f>+'Info recibida'!CF53/550</f>
        <v>0</v>
      </c>
      <c r="CF53" s="218">
        <f>+'Info recibida'!CG53/550</f>
        <v>21818.18181818182</v>
      </c>
      <c r="CG53" s="213">
        <f t="shared" si="15"/>
        <v>129090.9090909091</v>
      </c>
      <c r="CH53" s="217">
        <f>+'Info recibida'!CH53/550</f>
        <v>18181.81818181818</v>
      </c>
      <c r="CI53" s="217">
        <f>+'Info recibida'!CI53/550</f>
        <v>23454.545454545456</v>
      </c>
      <c r="CJ53" s="217">
        <f>+'Info recibida'!CJ53/550</f>
        <v>21363.636363636364</v>
      </c>
      <c r="CK53" s="217">
        <f>+'Info recibida'!CK53/550</f>
        <v>-454.54545454545456</v>
      </c>
      <c r="CL53" s="217">
        <f>+'Info recibida'!CL53/550</f>
        <v>21363.636363636364</v>
      </c>
      <c r="CM53" s="217">
        <f>+'Info recibida'!CM53/550</f>
        <v>-454.54545454545456</v>
      </c>
      <c r="CN53" s="217">
        <f>+'Info recibida'!CN53/550</f>
        <v>21363.636363636364</v>
      </c>
      <c r="CO53" s="217">
        <f>+'Info recibida'!CO53/550</f>
        <v>-454.54545454545456</v>
      </c>
      <c r="CP53" s="217">
        <f>+'Info recibida'!CP53/550</f>
        <v>21363.636363636364</v>
      </c>
      <c r="CQ53" s="213">
        <f>+'Info recibida'!CQ53/550</f>
        <v>125727.27272727272</v>
      </c>
      <c r="CR53" s="70"/>
      <c r="CS53" s="71"/>
      <c r="CT53" s="71"/>
      <c r="CU53" s="210"/>
      <c r="CV53" s="210"/>
      <c r="CW53" s="210"/>
      <c r="CX53" s="210"/>
      <c r="CY53" s="221">
        <f>+'Info recibida'!CY53/550</f>
        <v>125727.27272727272</v>
      </c>
      <c r="CZ53" s="222"/>
      <c r="DA53" s="514">
        <f t="shared" si="14"/>
        <v>5.5243057237201656E-4</v>
      </c>
    </row>
    <row r="54" spans="2:105" ht="26.1" customHeight="1" x14ac:dyDescent="0.25">
      <c r="B54" s="98" t="s">
        <v>51</v>
      </c>
      <c r="C54" s="99"/>
      <c r="D54" s="55"/>
      <c r="E54" s="126"/>
      <c r="F54" s="56"/>
      <c r="G54" s="58"/>
      <c r="H54" s="57"/>
      <c r="I54" s="57"/>
      <c r="J54" s="128"/>
      <c r="K54" s="129"/>
      <c r="L54" s="130"/>
      <c r="N54" s="98" t="s">
        <v>51</v>
      </c>
      <c r="O54" s="131"/>
      <c r="P54" s="126"/>
      <c r="Q54" s="126"/>
      <c r="R54" s="126"/>
      <c r="S54" s="126"/>
      <c r="T54" s="126"/>
      <c r="U54" s="126"/>
      <c r="V54" s="126"/>
      <c r="W54" s="126"/>
      <c r="X54" s="126"/>
      <c r="Y54" s="126"/>
      <c r="Z54" s="126"/>
      <c r="AA54" s="126"/>
      <c r="AB54" s="126"/>
      <c r="AC54" s="126"/>
      <c r="AD54" s="126"/>
      <c r="AE54" s="132"/>
      <c r="AF54" s="131"/>
      <c r="AG54" s="126"/>
      <c r="AH54" s="126"/>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263"/>
      <c r="BF54" s="131"/>
      <c r="BG54" s="126"/>
      <c r="BH54" s="134"/>
      <c r="BI54" s="486">
        <f>+'Info recibida'!BJ54/550</f>
        <v>0</v>
      </c>
      <c r="BJ54" s="133">
        <f>+'Info recibida'!BK54/550</f>
        <v>1673658.3790309511</v>
      </c>
      <c r="BK54" s="133">
        <f>+'Info recibida'!BL54/550</f>
        <v>1686022.0153945875</v>
      </c>
      <c r="BL54" s="133">
        <f>+'Info recibida'!BM54/550</f>
        <v>1679840.1972127694</v>
      </c>
      <c r="BM54" s="133">
        <f>+'Info recibida'!BN54/550</f>
        <v>1073173.5305461027</v>
      </c>
      <c r="BN54" s="133">
        <f>+'Info recibida'!BO54/550</f>
        <v>1066991.7123642846</v>
      </c>
      <c r="BO54" s="133">
        <f>+'Info recibida'!BP54/550</f>
        <v>1066991.7123642846</v>
      </c>
      <c r="BP54" s="133">
        <f>+'Info recibida'!BQ54/550</f>
        <v>1066991.7123642846</v>
      </c>
      <c r="BQ54" s="133">
        <f>+'Info recibida'!BR54/550</f>
        <v>1066991.7123642846</v>
      </c>
      <c r="BR54" s="133">
        <f>+'Info recibida'!BS54/550</f>
        <v>1066991.7123642846</v>
      </c>
      <c r="BS54" s="133">
        <f>+'Info recibida'!BT54/550</f>
        <v>11447652.684005836</v>
      </c>
      <c r="BT54" s="126"/>
      <c r="BU54" s="126"/>
      <c r="BV54" s="126"/>
      <c r="BW54" s="139"/>
      <c r="BX54" s="136">
        <f>+'Info recibida'!BY54/550</f>
        <v>2567604.6368497815</v>
      </c>
      <c r="BY54" s="133">
        <f>+'Info recibida'!BZ54/550</f>
        <v>2598695.5459406907</v>
      </c>
      <c r="BZ54" s="133">
        <f>+'Info recibida'!CA54/550</f>
        <v>2573968.2732134177</v>
      </c>
      <c r="CA54" s="133">
        <f>+'Info recibida'!CB54/550</f>
        <v>2633968.2732134163</v>
      </c>
      <c r="CB54" s="133">
        <f>+'Info recibida'!CC54/550</f>
        <v>2621604.6368497801</v>
      </c>
      <c r="CC54" s="133">
        <f>+'Info recibida'!CD54/550</f>
        <v>2621604.6368497801</v>
      </c>
      <c r="CD54" s="133">
        <f>+'Info recibida'!CE54/550</f>
        <v>2621604.6368497801</v>
      </c>
      <c r="CE54" s="133">
        <f>+'Info recibida'!CF54/550</f>
        <v>2621604.6368497801</v>
      </c>
      <c r="CF54" s="497">
        <f>+'Info recibida'!CG54/550</f>
        <v>2621604.6368497801</v>
      </c>
      <c r="CG54" s="137">
        <f t="shared" si="15"/>
        <v>23482259.913466204</v>
      </c>
      <c r="CH54" s="136">
        <f>+'Info recibida'!CH54/550</f>
        <v>893946.25781882997</v>
      </c>
      <c r="CI54" s="133">
        <f>+'Info recibida'!CI54/550</f>
        <v>912673.53054610279</v>
      </c>
      <c r="CJ54" s="133">
        <f>+'Info recibida'!CJ54/550</f>
        <v>894128.0760006482</v>
      </c>
      <c r="CK54" s="133">
        <f>+'Info recibida'!CK54/550</f>
        <v>1560794.7426673137</v>
      </c>
      <c r="CL54" s="133">
        <f>+'Info recibida'!CL54/550</f>
        <v>1554612.9244854955</v>
      </c>
      <c r="CM54" s="133">
        <f>+'Info recibida'!CM54/550</f>
        <v>1554612.9244854955</v>
      </c>
      <c r="CN54" s="133">
        <f>+'Info recibida'!CN54/550</f>
        <v>1554612.9244854955</v>
      </c>
      <c r="CO54" s="133">
        <f>+'Info recibida'!CO54/550</f>
        <v>1554612.9244854955</v>
      </c>
      <c r="CP54" s="133">
        <f>+'Info recibida'!CP54/550</f>
        <v>1554612.9244854955</v>
      </c>
      <c r="CQ54" s="137">
        <f>+'Info recibida'!CQ54/550</f>
        <v>12034607.229460374</v>
      </c>
      <c r="CR54" s="138"/>
      <c r="CS54" s="140">
        <f>+CS55+CS59</f>
        <v>6000</v>
      </c>
      <c r="CT54" s="126"/>
      <c r="CU54" s="126"/>
      <c r="CV54" s="126"/>
      <c r="CW54" s="126"/>
      <c r="CX54" s="126"/>
      <c r="CY54" s="141">
        <f>+'Info recibida'!CY54/550</f>
        <v>12028607.229460372</v>
      </c>
      <c r="CZ54" s="132"/>
      <c r="DA54" s="516">
        <f>SUM(DA55:DA64)</f>
        <v>0.99999999999999978</v>
      </c>
    </row>
    <row r="55" spans="2:105" ht="26.1" customHeight="1" x14ac:dyDescent="0.25">
      <c r="B55" s="286" t="s">
        <v>52</v>
      </c>
      <c r="C55" s="287" t="s">
        <v>355</v>
      </c>
      <c r="D55" s="63" t="s">
        <v>4</v>
      </c>
      <c r="E55" s="288"/>
      <c r="F55" s="64"/>
      <c r="G55" s="65"/>
      <c r="H55" s="66"/>
      <c r="I55" s="66"/>
      <c r="J55" s="289"/>
      <c r="K55" s="290"/>
      <c r="L55" s="291"/>
      <c r="N55" s="286" t="s">
        <v>52</v>
      </c>
      <c r="O55" s="292"/>
      <c r="P55" s="288"/>
      <c r="Q55" s="288"/>
      <c r="R55" s="288"/>
      <c r="S55" s="288"/>
      <c r="T55" s="288"/>
      <c r="U55" s="288"/>
      <c r="V55" s="288"/>
      <c r="W55" s="288"/>
      <c r="X55" s="288"/>
      <c r="Y55" s="288"/>
      <c r="Z55" s="288"/>
      <c r="AA55" s="288"/>
      <c r="AB55" s="288"/>
      <c r="AC55" s="288"/>
      <c r="AD55" s="288"/>
      <c r="AE55" s="293"/>
      <c r="AF55" s="292"/>
      <c r="AG55" s="288"/>
      <c r="AH55" s="288"/>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5"/>
      <c r="BF55" s="292"/>
      <c r="BG55" s="288"/>
      <c r="BH55" s="296"/>
      <c r="BI55" s="491">
        <f>+'Info recibida'!BJ55/550</f>
        <v>0</v>
      </c>
      <c r="BJ55" s="294">
        <f>+'Info recibida'!BK55/550</f>
        <v>887946.25781882997</v>
      </c>
      <c r="BK55" s="294">
        <f>+'Info recibida'!BL55/550</f>
        <v>887946.25781882997</v>
      </c>
      <c r="BL55" s="294">
        <f>+'Info recibida'!BM55/550</f>
        <v>887946.25781882997</v>
      </c>
      <c r="BM55" s="294">
        <f>+'Info recibida'!BN55/550</f>
        <v>887946.25781882997</v>
      </c>
      <c r="BN55" s="294">
        <f>+'Info recibida'!BO55/550</f>
        <v>887946.25781882997</v>
      </c>
      <c r="BO55" s="294">
        <f>+'Info recibida'!BP55/550</f>
        <v>887946.25781882997</v>
      </c>
      <c r="BP55" s="294">
        <f>+'Info recibida'!BQ55/550</f>
        <v>887946.25781882997</v>
      </c>
      <c r="BQ55" s="294">
        <f>+'Info recibida'!BR55/550</f>
        <v>887946.25781882997</v>
      </c>
      <c r="BR55" s="294">
        <f>+'Info recibida'!BS55/550</f>
        <v>887946.25781882997</v>
      </c>
      <c r="BS55" s="294">
        <f>+'Info recibida'!BT55/550</f>
        <v>7991516.320369469</v>
      </c>
      <c r="BT55" s="288"/>
      <c r="BU55" s="288"/>
      <c r="BV55" s="288"/>
      <c r="BW55" s="301"/>
      <c r="BX55" s="298">
        <f>+'Info recibida'!BY55/550</f>
        <v>1775892.5156376599</v>
      </c>
      <c r="BY55" s="294">
        <f>+'Info recibida'!BZ55/550</f>
        <v>1775892.5156376599</v>
      </c>
      <c r="BZ55" s="294">
        <f>+'Info recibida'!CA55/550</f>
        <v>1775892.5156376599</v>
      </c>
      <c r="CA55" s="294">
        <f>+'Info recibida'!CB55/550</f>
        <v>1775892.5156376599</v>
      </c>
      <c r="CB55" s="294">
        <f>+'Info recibida'!CC55/550</f>
        <v>1775892.5156376599</v>
      </c>
      <c r="CC55" s="294">
        <f>+'Info recibida'!CD55/550</f>
        <v>1775892.5156376599</v>
      </c>
      <c r="CD55" s="294">
        <f>+'Info recibida'!CE55/550</f>
        <v>1775892.5156376599</v>
      </c>
      <c r="CE55" s="294">
        <f>+'Info recibida'!CF55/550</f>
        <v>1775892.5156376599</v>
      </c>
      <c r="CF55" s="495">
        <f>+'Info recibida'!CG55/550</f>
        <v>1775892.5156376599</v>
      </c>
      <c r="CG55" s="299">
        <f t="shared" si="15"/>
        <v>15983032.640738942</v>
      </c>
      <c r="CH55" s="298">
        <f>+'Info recibida'!CH55/550</f>
        <v>887946.25781882997</v>
      </c>
      <c r="CI55" s="294">
        <f>+'Info recibida'!CI55/550</f>
        <v>887946.25781882997</v>
      </c>
      <c r="CJ55" s="294">
        <f>+'Info recibida'!CJ55/550</f>
        <v>887946.25781882997</v>
      </c>
      <c r="CK55" s="294">
        <f>+'Info recibida'!CK55/550</f>
        <v>887946.25781882997</v>
      </c>
      <c r="CL55" s="294">
        <f>+'Info recibida'!CL55/550</f>
        <v>887946.25781882997</v>
      </c>
      <c r="CM55" s="294">
        <f>+'Info recibida'!CM55/550</f>
        <v>887946.25781882997</v>
      </c>
      <c r="CN55" s="294">
        <f>+'Info recibida'!CN55/550</f>
        <v>887946.25781882997</v>
      </c>
      <c r="CO55" s="294">
        <f>+'Info recibida'!CO55/550</f>
        <v>887946.25781882997</v>
      </c>
      <c r="CP55" s="294">
        <f>+'Info recibida'!CP55/550</f>
        <v>887946.25781882997</v>
      </c>
      <c r="CQ55" s="299">
        <f>+'Info recibida'!CQ55/550</f>
        <v>7991516.320369469</v>
      </c>
      <c r="CR55" s="300"/>
      <c r="CS55" s="302">
        <f>+CS56+CS57</f>
        <v>0</v>
      </c>
      <c r="CT55" s="288"/>
      <c r="CU55" s="288"/>
      <c r="CV55" s="288"/>
      <c r="CW55" s="288"/>
      <c r="CX55" s="288"/>
      <c r="CY55" s="303">
        <f>+'Info recibida'!CY55/550</f>
        <v>7991516.320369469</v>
      </c>
      <c r="CZ55" s="293"/>
      <c r="DA55" s="514"/>
    </row>
    <row r="56" spans="2:105" ht="27.75" customHeight="1" x14ac:dyDescent="0.25">
      <c r="B56" s="143" t="s">
        <v>53</v>
      </c>
      <c r="C56" s="144" t="s">
        <v>355</v>
      </c>
      <c r="D56" s="59" t="s">
        <v>4</v>
      </c>
      <c r="E56" s="145"/>
      <c r="F56" s="60"/>
      <c r="G56" s="61"/>
      <c r="H56" s="62"/>
      <c r="I56" s="62"/>
      <c r="J56" s="147" t="s">
        <v>253</v>
      </c>
      <c r="K56" s="148" t="s">
        <v>254</v>
      </c>
      <c r="L56" s="378" t="s">
        <v>255</v>
      </c>
      <c r="M56" s="379"/>
      <c r="N56" s="143" t="s">
        <v>53</v>
      </c>
      <c r="O56" s="150"/>
      <c r="P56" s="145"/>
      <c r="Q56" s="145"/>
      <c r="R56" s="145"/>
      <c r="S56" s="145"/>
      <c r="T56" s="145"/>
      <c r="U56" s="145"/>
      <c r="V56" s="145"/>
      <c r="W56" s="145"/>
      <c r="X56" s="145"/>
      <c r="Y56" s="145"/>
      <c r="Z56" s="145"/>
      <c r="AA56" s="145"/>
      <c r="AB56" s="145"/>
      <c r="AC56" s="145"/>
      <c r="AD56" s="145"/>
      <c r="AE56" s="151"/>
      <c r="AF56" s="150"/>
      <c r="AG56" s="145"/>
      <c r="AH56" s="145"/>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254"/>
      <c r="BF56" s="150"/>
      <c r="BG56" s="154" t="s">
        <v>355</v>
      </c>
      <c r="BH56" s="155"/>
      <c r="BI56" s="496">
        <f>+'Info recibida'!BJ56/550</f>
        <v>0</v>
      </c>
      <c r="BJ56" s="152">
        <f>+'Info recibida'!BK56/550</f>
        <v>0</v>
      </c>
      <c r="BK56" s="152">
        <f>+'Info recibida'!BL56/550</f>
        <v>0</v>
      </c>
      <c r="BL56" s="152">
        <f>+'Info recibida'!BM56/550</f>
        <v>0</v>
      </c>
      <c r="BM56" s="152">
        <f>+'Info recibida'!BN56/550</f>
        <v>0</v>
      </c>
      <c r="BN56" s="152">
        <f>+'Info recibida'!BO56/550</f>
        <v>0</v>
      </c>
      <c r="BO56" s="152">
        <f>+'Info recibida'!BP56/550</f>
        <v>0</v>
      </c>
      <c r="BP56" s="152">
        <f>+'Info recibida'!BQ56/550</f>
        <v>0</v>
      </c>
      <c r="BQ56" s="152">
        <f>+'Info recibida'!BR56/550</f>
        <v>0</v>
      </c>
      <c r="BR56" s="152">
        <f>+'Info recibida'!BS56/550</f>
        <v>0</v>
      </c>
      <c r="BS56" s="152">
        <f>+'Info recibida'!BT56/550</f>
        <v>0</v>
      </c>
      <c r="BT56" s="145"/>
      <c r="BU56" s="145"/>
      <c r="BV56" s="145"/>
      <c r="BW56" s="159"/>
      <c r="BX56" s="157">
        <f>+'Info recibida'!BY56/550</f>
        <v>0</v>
      </c>
      <c r="BY56" s="152">
        <f>+'Info recibida'!BZ56/550</f>
        <v>0</v>
      </c>
      <c r="BZ56" s="152">
        <f>+'Info recibida'!CA56/550</f>
        <v>0</v>
      </c>
      <c r="CA56" s="152">
        <f>+'Info recibida'!CB56/550</f>
        <v>0</v>
      </c>
      <c r="CB56" s="152">
        <f>+'Info recibida'!CC56/550</f>
        <v>0</v>
      </c>
      <c r="CC56" s="152">
        <f>+'Info recibida'!CD56/550</f>
        <v>0</v>
      </c>
      <c r="CD56" s="152">
        <f>+'Info recibida'!CE56/550</f>
        <v>0</v>
      </c>
      <c r="CE56" s="152">
        <f>+'Info recibida'!CF56/550</f>
        <v>0</v>
      </c>
      <c r="CF56" s="487">
        <f>+'Info recibida'!CG56/550</f>
        <v>0</v>
      </c>
      <c r="CG56" s="156"/>
      <c r="CH56" s="157">
        <f>+'Info recibida'!CH56/550</f>
        <v>0</v>
      </c>
      <c r="CI56" s="152">
        <f>+'Info recibida'!CI56/550</f>
        <v>0</v>
      </c>
      <c r="CJ56" s="152">
        <f>+'Info recibida'!CJ56/550</f>
        <v>0</v>
      </c>
      <c r="CK56" s="152">
        <f>+'Info recibida'!CK56/550</f>
        <v>0</v>
      </c>
      <c r="CL56" s="152">
        <f>+'Info recibida'!CL56/550</f>
        <v>0</v>
      </c>
      <c r="CM56" s="152">
        <f>+'Info recibida'!CM56/550</f>
        <v>0</v>
      </c>
      <c r="CN56" s="152">
        <f>+'Info recibida'!CN56/550</f>
        <v>0</v>
      </c>
      <c r="CO56" s="152">
        <f>+'Info recibida'!CO56/550</f>
        <v>0</v>
      </c>
      <c r="CP56" s="152">
        <f>+'Info recibida'!CP56/550</f>
        <v>0</v>
      </c>
      <c r="CQ56" s="156">
        <f>+'Info recibida'!CQ56/550</f>
        <v>0</v>
      </c>
      <c r="CR56" s="158"/>
      <c r="CS56" s="145"/>
      <c r="CT56" s="145"/>
      <c r="CU56" s="145"/>
      <c r="CV56" s="145"/>
      <c r="CW56" s="145"/>
      <c r="CX56" s="145"/>
      <c r="CY56" s="145">
        <f>+'Info recibida'!CY56/550</f>
        <v>0</v>
      </c>
      <c r="CZ56" s="151"/>
      <c r="DA56" s="514"/>
    </row>
    <row r="57" spans="2:105" ht="26.1" customHeight="1" x14ac:dyDescent="0.25">
      <c r="B57" s="143" t="s">
        <v>58</v>
      </c>
      <c r="C57" s="144" t="s">
        <v>355</v>
      </c>
      <c r="D57" s="59" t="s">
        <v>4</v>
      </c>
      <c r="E57" s="145"/>
      <c r="F57" s="60"/>
      <c r="G57" s="61"/>
      <c r="H57" s="62"/>
      <c r="I57" s="62"/>
      <c r="J57" s="147" t="s">
        <v>253</v>
      </c>
      <c r="K57" s="148" t="s">
        <v>254</v>
      </c>
      <c r="L57" s="378" t="s">
        <v>255</v>
      </c>
      <c r="M57" s="379"/>
      <c r="N57" s="143" t="s">
        <v>58</v>
      </c>
      <c r="O57" s="150"/>
      <c r="P57" s="145"/>
      <c r="Q57" s="145"/>
      <c r="R57" s="145"/>
      <c r="S57" s="145"/>
      <c r="T57" s="145"/>
      <c r="U57" s="145"/>
      <c r="V57" s="145"/>
      <c r="W57" s="145"/>
      <c r="X57" s="145"/>
      <c r="Y57" s="145"/>
      <c r="Z57" s="145"/>
      <c r="AA57" s="145"/>
      <c r="AB57" s="145"/>
      <c r="AC57" s="145"/>
      <c r="AD57" s="145"/>
      <c r="AE57" s="151"/>
      <c r="AF57" s="150"/>
      <c r="AG57" s="145"/>
      <c r="AH57" s="145"/>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254"/>
      <c r="BF57" s="150"/>
      <c r="BG57" s="154" t="s">
        <v>355</v>
      </c>
      <c r="BH57" s="155"/>
      <c r="BI57" s="487">
        <f>+'Info recibida'!BJ57/550</f>
        <v>0</v>
      </c>
      <c r="BJ57" s="152">
        <f>+'Info recibida'!BK57/550</f>
        <v>887946.25781882997</v>
      </c>
      <c r="BK57" s="152">
        <f>+'Info recibida'!BL57/550</f>
        <v>887946.25781882997</v>
      </c>
      <c r="BL57" s="152">
        <f>+'Info recibida'!BM57/550</f>
        <v>887946.25781882997</v>
      </c>
      <c r="BM57" s="152">
        <f>+'Info recibida'!BN57/550</f>
        <v>887946.25781882997</v>
      </c>
      <c r="BN57" s="152">
        <f>+'Info recibida'!BO57/550</f>
        <v>887946.25781882997</v>
      </c>
      <c r="BO57" s="152">
        <f>+'Info recibida'!BP57/550</f>
        <v>887946.25781882997</v>
      </c>
      <c r="BP57" s="152">
        <f>+'Info recibida'!BQ57/550</f>
        <v>887946.25781882997</v>
      </c>
      <c r="BQ57" s="152">
        <f>+'Info recibida'!BR57/550</f>
        <v>887946.25781882997</v>
      </c>
      <c r="BR57" s="152">
        <f>+'Info recibida'!BS57/550</f>
        <v>887946.25781882997</v>
      </c>
      <c r="BS57" s="152">
        <f>+'Info recibida'!BT57/550</f>
        <v>7991516.320369469</v>
      </c>
      <c r="BT57" s="145"/>
      <c r="BU57" s="145"/>
      <c r="BV57" s="145"/>
      <c r="BW57" s="159"/>
      <c r="BX57" s="157">
        <f>+'Info recibida'!BY57/550</f>
        <v>1775892.5156376599</v>
      </c>
      <c r="BY57" s="152">
        <f>+'Info recibida'!BZ57/550</f>
        <v>1775892.5156376599</v>
      </c>
      <c r="BZ57" s="152">
        <f>+'Info recibida'!CA57/550</f>
        <v>1775892.5156376599</v>
      </c>
      <c r="CA57" s="152">
        <f>+'Info recibida'!CB57/550</f>
        <v>1775892.5156376599</v>
      </c>
      <c r="CB57" s="152">
        <f>+'Info recibida'!CC57/550</f>
        <v>1775892.5156376599</v>
      </c>
      <c r="CC57" s="152">
        <f>+'Info recibida'!CD57/550</f>
        <v>1775892.5156376599</v>
      </c>
      <c r="CD57" s="152">
        <f>+'Info recibida'!CE57/550</f>
        <v>1775892.5156376599</v>
      </c>
      <c r="CE57" s="152">
        <f>+'Info recibida'!CF57/550</f>
        <v>1775892.5156376599</v>
      </c>
      <c r="CF57" s="487">
        <f>+'Info recibida'!CG57/550</f>
        <v>1775892.5156376599</v>
      </c>
      <c r="CG57" s="156">
        <f t="shared" ref="CG57:CG69" si="16">SUM(BX57:CF57)</f>
        <v>15983032.640738942</v>
      </c>
      <c r="CH57" s="157">
        <f>+'Info recibida'!CH57/550</f>
        <v>887946.25781882997</v>
      </c>
      <c r="CI57" s="152">
        <f>+'Info recibida'!CI57/550</f>
        <v>887946.25781882997</v>
      </c>
      <c r="CJ57" s="152">
        <f>+'Info recibida'!CJ57/550</f>
        <v>887946.25781882997</v>
      </c>
      <c r="CK57" s="152">
        <f>+'Info recibida'!CK57/550</f>
        <v>887946.25781882997</v>
      </c>
      <c r="CL57" s="152">
        <f>+'Info recibida'!CL57/550</f>
        <v>887946.25781882997</v>
      </c>
      <c r="CM57" s="152">
        <f>+'Info recibida'!CM57/550</f>
        <v>887946.25781882997</v>
      </c>
      <c r="CN57" s="152">
        <f>+'Info recibida'!CN57/550</f>
        <v>887946.25781882997</v>
      </c>
      <c r="CO57" s="152">
        <f>+'Info recibida'!CO57/550</f>
        <v>887946.25781882997</v>
      </c>
      <c r="CP57" s="152">
        <f>+'Info recibida'!CP57/550</f>
        <v>887946.25781882997</v>
      </c>
      <c r="CQ57" s="156">
        <f>+'Info recibida'!CQ57/550</f>
        <v>7991516.320369469</v>
      </c>
      <c r="CR57" s="158"/>
      <c r="CS57" s="160">
        <f>SUM(CS58)</f>
        <v>0</v>
      </c>
      <c r="CT57" s="145"/>
      <c r="CU57" s="145"/>
      <c r="CV57" s="145"/>
      <c r="CW57" s="145"/>
      <c r="CX57" s="145"/>
      <c r="CY57" s="161">
        <f>+'Info recibida'!CY57/550</f>
        <v>7991516.320369469</v>
      </c>
      <c r="CZ57" s="151"/>
      <c r="DA57" s="514"/>
    </row>
    <row r="58" spans="2:105" ht="26.1" customHeight="1" x14ac:dyDescent="0.25">
      <c r="B58" s="204" t="s">
        <v>59</v>
      </c>
      <c r="C58" s="205" t="s">
        <v>355</v>
      </c>
      <c r="D58" s="47" t="s">
        <v>4</v>
      </c>
      <c r="E58" s="255"/>
      <c r="F58" s="48" t="s">
        <v>397</v>
      </c>
      <c r="G58" s="48" t="s">
        <v>116</v>
      </c>
      <c r="H58" s="49"/>
      <c r="I58" s="49" t="s">
        <v>230</v>
      </c>
      <c r="J58" s="206"/>
      <c r="K58" s="207"/>
      <c r="L58" s="208"/>
      <c r="N58" s="204" t="s">
        <v>59</v>
      </c>
      <c r="O58" s="47" t="s">
        <v>3</v>
      </c>
      <c r="P58" s="48" t="s">
        <v>456</v>
      </c>
      <c r="Q58" s="48" t="s">
        <v>314</v>
      </c>
      <c r="R58" s="48"/>
      <c r="S58" s="48" t="s">
        <v>314</v>
      </c>
      <c r="T58" s="48" t="s">
        <v>314</v>
      </c>
      <c r="U58" s="48"/>
      <c r="V58" s="48"/>
      <c r="W58" s="48" t="s">
        <v>307</v>
      </c>
      <c r="X58" s="48"/>
      <c r="Y58" s="48"/>
      <c r="Z58" s="48"/>
      <c r="AA58" s="48"/>
      <c r="AB58" s="48" t="s">
        <v>314</v>
      </c>
      <c r="AC58" s="48"/>
      <c r="AD58" s="48"/>
      <c r="AE58" s="209"/>
      <c r="AF58" s="47" t="s">
        <v>315</v>
      </c>
      <c r="AG58" s="210" t="s">
        <v>319</v>
      </c>
      <c r="AH58" s="101" t="s">
        <v>457</v>
      </c>
      <c r="AI58" s="170">
        <v>3500</v>
      </c>
      <c r="AJ58" s="170">
        <v>3500</v>
      </c>
      <c r="AK58" s="170">
        <v>3500</v>
      </c>
      <c r="AL58" s="170">
        <v>3500</v>
      </c>
      <c r="AM58" s="170">
        <v>3500</v>
      </c>
      <c r="AN58" s="170">
        <v>3500</v>
      </c>
      <c r="AO58" s="170">
        <v>3500</v>
      </c>
      <c r="AP58" s="170">
        <v>3500</v>
      </c>
      <c r="AQ58" s="170">
        <v>3500</v>
      </c>
      <c r="AR58" s="170">
        <v>3500</v>
      </c>
      <c r="AS58" s="170"/>
      <c r="AT58" s="170"/>
      <c r="AU58" s="170">
        <v>7000</v>
      </c>
      <c r="AV58" s="170">
        <v>7000</v>
      </c>
      <c r="AW58" s="170">
        <v>7000</v>
      </c>
      <c r="AX58" s="170">
        <v>7000</v>
      </c>
      <c r="AY58" s="170">
        <v>7000</v>
      </c>
      <c r="AZ58" s="170">
        <v>7000</v>
      </c>
      <c r="BA58" s="170">
        <v>7000</v>
      </c>
      <c r="BB58" s="170">
        <v>7000</v>
      </c>
      <c r="BC58" s="170">
        <v>7000</v>
      </c>
      <c r="BD58" s="170"/>
      <c r="BE58" s="170"/>
      <c r="BF58" s="206"/>
      <c r="BG58" s="257" t="s">
        <v>312</v>
      </c>
      <c r="BH58" s="48"/>
      <c r="BI58" s="211">
        <f>+'Info recibida'!BJ58/550</f>
        <v>0</v>
      </c>
      <c r="BJ58" s="170">
        <f>+'Info recibida'!BK58/550</f>
        <v>887946.25781882997</v>
      </c>
      <c r="BK58" s="217">
        <f>+'Info recibida'!BL58/550</f>
        <v>887946.25781882997</v>
      </c>
      <c r="BL58" s="217">
        <f>+'Info recibida'!BM58/550</f>
        <v>887946.25781882997</v>
      </c>
      <c r="BM58" s="217">
        <f>+'Info recibida'!BN58/550</f>
        <v>887946.25781882997</v>
      </c>
      <c r="BN58" s="217">
        <f>+'Info recibida'!BO58/550</f>
        <v>887946.25781882997</v>
      </c>
      <c r="BO58" s="217">
        <f>+'Info recibida'!BP58/550</f>
        <v>887946.25781882997</v>
      </c>
      <c r="BP58" s="217">
        <f>+'Info recibida'!BQ58/550</f>
        <v>887946.25781882997</v>
      </c>
      <c r="BQ58" s="217">
        <f>+'Info recibida'!BR58/550</f>
        <v>887946.25781882997</v>
      </c>
      <c r="BR58" s="217">
        <f>+'Info recibida'!BS58/550</f>
        <v>887946.25781882997</v>
      </c>
      <c r="BS58" s="170">
        <f>+'Info recibida'!BT58/550</f>
        <v>7991516.320369469</v>
      </c>
      <c r="BT58" s="215">
        <v>0.95</v>
      </c>
      <c r="BU58" s="48"/>
      <c r="BV58" s="215">
        <v>0.05</v>
      </c>
      <c r="BW58" s="243"/>
      <c r="BX58" s="212">
        <f>+'Info recibida'!BY58/550</f>
        <v>1775892.5156376599</v>
      </c>
      <c r="BY58" s="217">
        <f>+'Info recibida'!BZ58/550</f>
        <v>1775892.5156376599</v>
      </c>
      <c r="BZ58" s="217">
        <f>+'Info recibida'!CA58/550</f>
        <v>1775892.5156376599</v>
      </c>
      <c r="CA58" s="217">
        <f>+'Info recibida'!CB58/550</f>
        <v>1775892.5156376599</v>
      </c>
      <c r="CB58" s="217">
        <f>+'Info recibida'!CC58/550</f>
        <v>1775892.5156376599</v>
      </c>
      <c r="CC58" s="217">
        <f>+'Info recibida'!CD58/550</f>
        <v>1775892.5156376599</v>
      </c>
      <c r="CD58" s="217">
        <f>+'Info recibida'!CE58/550</f>
        <v>1775892.5156376599</v>
      </c>
      <c r="CE58" s="217">
        <f>+'Info recibida'!CF58/550</f>
        <v>1775892.5156376599</v>
      </c>
      <c r="CF58" s="218">
        <f>+'Info recibida'!CG58/550</f>
        <v>1775892.5156376599</v>
      </c>
      <c r="CG58" s="213">
        <f t="shared" si="16"/>
        <v>15983032.640738942</v>
      </c>
      <c r="CH58" s="217">
        <f>+'Info recibida'!CH58/550</f>
        <v>887946.25781882997</v>
      </c>
      <c r="CI58" s="217">
        <f>+'Info recibida'!CI58/550</f>
        <v>887946.25781882997</v>
      </c>
      <c r="CJ58" s="217">
        <f>+'Info recibida'!CJ58/550</f>
        <v>887946.25781882997</v>
      </c>
      <c r="CK58" s="217">
        <f>+'Info recibida'!CK58/550</f>
        <v>887946.25781882997</v>
      </c>
      <c r="CL58" s="217">
        <f>+'Info recibida'!CL58/550</f>
        <v>887946.25781882997</v>
      </c>
      <c r="CM58" s="217">
        <f>+'Info recibida'!CM58/550</f>
        <v>887946.25781882997</v>
      </c>
      <c r="CN58" s="217">
        <f>+'Info recibida'!CN58/550</f>
        <v>887946.25781882997</v>
      </c>
      <c r="CO58" s="217">
        <f>+'Info recibida'!CO58/550</f>
        <v>887946.25781882997</v>
      </c>
      <c r="CP58" s="217">
        <f>+'Info recibida'!CP58/550</f>
        <v>887946.25781882997</v>
      </c>
      <c r="CQ58" s="213">
        <f>+'Info recibida'!CQ58/550</f>
        <v>7991516.320369469</v>
      </c>
      <c r="CR58" s="70"/>
      <c r="CS58" s="71"/>
      <c r="CT58" s="71"/>
      <c r="CU58" s="210"/>
      <c r="CV58" s="210"/>
      <c r="CW58" s="210"/>
      <c r="CX58" s="210"/>
      <c r="CY58" s="221">
        <f>+'Info recibida'!CY58/550</f>
        <v>7991516.320369469</v>
      </c>
      <c r="CZ58" s="222"/>
      <c r="DA58" s="514">
        <f t="shared" ref="DA58:DA64" si="17">+CQ58/CQ$54</f>
        <v>0.66404463128688285</v>
      </c>
    </row>
    <row r="59" spans="2:105" ht="26.1" customHeight="1" x14ac:dyDescent="0.25">
      <c r="B59" s="286" t="s">
        <v>248</v>
      </c>
      <c r="C59" s="287"/>
      <c r="D59" s="63" t="s">
        <v>490</v>
      </c>
      <c r="E59" s="288"/>
      <c r="F59" s="64"/>
      <c r="G59" s="65"/>
      <c r="H59" s="66"/>
      <c r="I59" s="66"/>
      <c r="J59" s="289"/>
      <c r="K59" s="290"/>
      <c r="L59" s="291"/>
      <c r="N59" s="286" t="s">
        <v>248</v>
      </c>
      <c r="O59" s="292"/>
      <c r="P59" s="288"/>
      <c r="Q59" s="288"/>
      <c r="R59" s="288"/>
      <c r="S59" s="288"/>
      <c r="T59" s="288"/>
      <c r="U59" s="288"/>
      <c r="V59" s="288"/>
      <c r="W59" s="288"/>
      <c r="X59" s="288"/>
      <c r="Y59" s="288"/>
      <c r="Z59" s="288"/>
      <c r="AA59" s="288"/>
      <c r="AB59" s="288"/>
      <c r="AC59" s="288"/>
      <c r="AD59" s="288"/>
      <c r="AE59" s="293"/>
      <c r="AF59" s="292"/>
      <c r="AG59" s="288"/>
      <c r="AH59" s="288"/>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5"/>
      <c r="BF59" s="292"/>
      <c r="BG59" s="288"/>
      <c r="BH59" s="296"/>
      <c r="BI59" s="491">
        <f>+'Info recibida'!BJ59/550</f>
        <v>0</v>
      </c>
      <c r="BJ59" s="294">
        <f>+'Info recibida'!BK59/550</f>
        <v>785712.1212121211</v>
      </c>
      <c r="BK59" s="294">
        <f>+'Info recibida'!BL59/550</f>
        <v>798075.75757575745</v>
      </c>
      <c r="BL59" s="294">
        <f>+'Info recibida'!BM59/550</f>
        <v>791893.93939393933</v>
      </c>
      <c r="BM59" s="294">
        <f>+'Info recibida'!BN59/550</f>
        <v>185227.27272727274</v>
      </c>
      <c r="BN59" s="294">
        <f>+'Info recibida'!BO59/550</f>
        <v>179045.45454545456</v>
      </c>
      <c r="BO59" s="294">
        <f>+'Info recibida'!BP59/550</f>
        <v>179045.45454545456</v>
      </c>
      <c r="BP59" s="294">
        <f>+'Info recibida'!BQ59/550</f>
        <v>179045.45454545456</v>
      </c>
      <c r="BQ59" s="294">
        <f>+'Info recibida'!BR59/550</f>
        <v>179045.45454545456</v>
      </c>
      <c r="BR59" s="294">
        <f>+'Info recibida'!BS59/550</f>
        <v>179045.45454545456</v>
      </c>
      <c r="BS59" s="294">
        <f>+'Info recibida'!BT59/550</f>
        <v>3456136.3636363638</v>
      </c>
      <c r="BT59" s="288"/>
      <c r="BU59" s="288"/>
      <c r="BV59" s="288"/>
      <c r="BW59" s="301"/>
      <c r="BX59" s="298">
        <f>+'Info recibida'!BY59/550</f>
        <v>791712.1212121211</v>
      </c>
      <c r="BY59" s="294">
        <f>+'Info recibida'!BZ59/550</f>
        <v>822803.03030303027</v>
      </c>
      <c r="BZ59" s="294">
        <f>+'Info recibida'!CA59/550</f>
        <v>798075.75757575745</v>
      </c>
      <c r="CA59" s="294">
        <f>+'Info recibida'!CB59/550</f>
        <v>858075.7575757564</v>
      </c>
      <c r="CB59" s="294">
        <f>+'Info recibida'!CC59/550</f>
        <v>845712.12121212005</v>
      </c>
      <c r="CC59" s="294">
        <f>+'Info recibida'!CD59/550</f>
        <v>845712.12121212005</v>
      </c>
      <c r="CD59" s="294">
        <f>+'Info recibida'!CE59/550</f>
        <v>845712.12121212005</v>
      </c>
      <c r="CE59" s="294">
        <f>+'Info recibida'!CF59/550</f>
        <v>845712.12121212005</v>
      </c>
      <c r="CF59" s="495">
        <f>+'Info recibida'!CG59/550</f>
        <v>845712.12121212005</v>
      </c>
      <c r="CG59" s="299">
        <f t="shared" si="16"/>
        <v>7499227.272727266</v>
      </c>
      <c r="CH59" s="298">
        <f>+'Info recibida'!CH59/550</f>
        <v>6000</v>
      </c>
      <c r="CI59" s="294">
        <f>+'Info recibida'!CI59/550</f>
        <v>24727.272727272728</v>
      </c>
      <c r="CJ59" s="294">
        <f>+'Info recibida'!CJ59/550</f>
        <v>6181.818181818182</v>
      </c>
      <c r="CK59" s="294">
        <f>+'Info recibida'!CK59/550</f>
        <v>672848.4848484837</v>
      </c>
      <c r="CL59" s="294">
        <f>+'Info recibida'!CL59/550</f>
        <v>666666.66666666546</v>
      </c>
      <c r="CM59" s="294">
        <f>+'Info recibida'!CM59/550</f>
        <v>666666.66666666546</v>
      </c>
      <c r="CN59" s="294">
        <f>+'Info recibida'!CN59/550</f>
        <v>666666.66666666546</v>
      </c>
      <c r="CO59" s="294">
        <f>+'Info recibida'!CO59/550</f>
        <v>666666.66666666546</v>
      </c>
      <c r="CP59" s="294">
        <f>+'Info recibida'!CP59/550</f>
        <v>666666.66666666546</v>
      </c>
      <c r="CQ59" s="299">
        <f>+'Info recibida'!CQ59/550</f>
        <v>4043090.9090909022</v>
      </c>
      <c r="CR59" s="300"/>
      <c r="CS59" s="302">
        <f>+CS60+CS63</f>
        <v>6000</v>
      </c>
      <c r="CT59" s="288"/>
      <c r="CU59" s="288"/>
      <c r="CV59" s="288"/>
      <c r="CW59" s="288"/>
      <c r="CX59" s="288"/>
      <c r="CY59" s="303">
        <f>+'Info recibida'!CY59/550</f>
        <v>4037090.9090909022</v>
      </c>
      <c r="CZ59" s="293"/>
      <c r="DA59" s="514"/>
    </row>
    <row r="60" spans="2:105" ht="26.1" customHeight="1" x14ac:dyDescent="0.25">
      <c r="B60" s="143" t="s">
        <v>54</v>
      </c>
      <c r="C60" s="144" t="s">
        <v>357</v>
      </c>
      <c r="D60" s="59" t="s">
        <v>490</v>
      </c>
      <c r="E60" s="145"/>
      <c r="F60" s="60"/>
      <c r="G60" s="61"/>
      <c r="H60" s="62"/>
      <c r="I60" s="62"/>
      <c r="J60" s="147" t="s">
        <v>254</v>
      </c>
      <c r="K60" s="148" t="s">
        <v>255</v>
      </c>
      <c r="L60" s="149" t="s">
        <v>256</v>
      </c>
      <c r="N60" s="143" t="s">
        <v>54</v>
      </c>
      <c r="O60" s="150"/>
      <c r="P60" s="145"/>
      <c r="Q60" s="145"/>
      <c r="R60" s="145"/>
      <c r="S60" s="145"/>
      <c r="T60" s="145"/>
      <c r="U60" s="145"/>
      <c r="V60" s="145"/>
      <c r="W60" s="145"/>
      <c r="X60" s="145"/>
      <c r="Y60" s="145"/>
      <c r="Z60" s="145"/>
      <c r="AA60" s="145"/>
      <c r="AB60" s="145"/>
      <c r="AC60" s="145"/>
      <c r="AD60" s="145"/>
      <c r="AE60" s="151"/>
      <c r="AF60" s="150"/>
      <c r="AG60" s="145"/>
      <c r="AH60" s="145"/>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254"/>
      <c r="BF60" s="150"/>
      <c r="BG60" s="154" t="s">
        <v>357</v>
      </c>
      <c r="BH60" s="155"/>
      <c r="BI60" s="487">
        <f>+'Info recibida'!BJ60/550</f>
        <v>0</v>
      </c>
      <c r="BJ60" s="152">
        <f>+'Info recibida'!BK60/550</f>
        <v>785712.1212121211</v>
      </c>
      <c r="BK60" s="152">
        <f>+'Info recibida'!BL60/550</f>
        <v>785712.1212121211</v>
      </c>
      <c r="BL60" s="152">
        <f>+'Info recibida'!BM60/550</f>
        <v>785712.1212121211</v>
      </c>
      <c r="BM60" s="152">
        <f>+'Info recibida'!BN60/550</f>
        <v>179045.45454545456</v>
      </c>
      <c r="BN60" s="152">
        <f>+'Info recibida'!BO60/550</f>
        <v>179045.45454545456</v>
      </c>
      <c r="BO60" s="152">
        <f>+'Info recibida'!BP60/550</f>
        <v>179045.45454545456</v>
      </c>
      <c r="BP60" s="152">
        <f>+'Info recibida'!BQ60/550</f>
        <v>179045.45454545456</v>
      </c>
      <c r="BQ60" s="152">
        <f>+'Info recibida'!BR60/550</f>
        <v>179045.45454545456</v>
      </c>
      <c r="BR60" s="152">
        <f>+'Info recibida'!BS60/550</f>
        <v>179045.45454545456</v>
      </c>
      <c r="BS60" s="152">
        <f>+'Info recibida'!BT60/550</f>
        <v>3431409.0909090908</v>
      </c>
      <c r="BT60" s="145"/>
      <c r="BU60" s="145"/>
      <c r="BV60" s="145"/>
      <c r="BW60" s="159"/>
      <c r="BX60" s="157">
        <f>+'Info recibida'!BY60/550</f>
        <v>791712.1212121211</v>
      </c>
      <c r="BY60" s="152">
        <f>+'Info recibida'!BZ60/550</f>
        <v>785712.1212121211</v>
      </c>
      <c r="BZ60" s="152">
        <f>+'Info recibida'!CA60/550</f>
        <v>785712.1212121211</v>
      </c>
      <c r="CA60" s="152">
        <f>+'Info recibida'!CB60/550</f>
        <v>845712.12121212005</v>
      </c>
      <c r="CB60" s="152">
        <f>+'Info recibida'!CC60/550</f>
        <v>845712.12121212005</v>
      </c>
      <c r="CC60" s="152">
        <f>+'Info recibida'!CD60/550</f>
        <v>845712.12121212005</v>
      </c>
      <c r="CD60" s="152">
        <f>+'Info recibida'!CE60/550</f>
        <v>845712.12121212005</v>
      </c>
      <c r="CE60" s="152">
        <f>+'Info recibida'!CF60/550</f>
        <v>845712.12121212005</v>
      </c>
      <c r="CF60" s="487">
        <f>+'Info recibida'!CG60/550</f>
        <v>845712.12121212005</v>
      </c>
      <c r="CG60" s="156">
        <f t="shared" si="16"/>
        <v>7437409.0909090843</v>
      </c>
      <c r="CH60" s="157">
        <f>+'Info recibida'!CH60/550</f>
        <v>6000</v>
      </c>
      <c r="CI60" s="152">
        <f>+'Info recibida'!CI60/550</f>
        <v>0</v>
      </c>
      <c r="CJ60" s="152">
        <f>+'Info recibida'!CJ60/550</f>
        <v>0</v>
      </c>
      <c r="CK60" s="152">
        <f>+'Info recibida'!CK60/550</f>
        <v>666666.66666666546</v>
      </c>
      <c r="CL60" s="152">
        <f>+'Info recibida'!CL60/550</f>
        <v>666666.66666666546</v>
      </c>
      <c r="CM60" s="152">
        <f>+'Info recibida'!CM60/550</f>
        <v>666666.66666666546</v>
      </c>
      <c r="CN60" s="152">
        <f>+'Info recibida'!CN60/550</f>
        <v>666666.66666666546</v>
      </c>
      <c r="CO60" s="152">
        <f>+'Info recibida'!CO60/550</f>
        <v>666666.66666666546</v>
      </c>
      <c r="CP60" s="152">
        <f>+'Info recibida'!CP60/550</f>
        <v>666666.66666666546</v>
      </c>
      <c r="CQ60" s="156">
        <f>+'Info recibida'!CQ60/550</f>
        <v>4005999.999999993</v>
      </c>
      <c r="CR60" s="158"/>
      <c r="CS60" s="160">
        <f>SUM(CS61:CS62)</f>
        <v>6000</v>
      </c>
      <c r="CT60" s="145"/>
      <c r="CU60" s="145"/>
      <c r="CV60" s="145"/>
      <c r="CW60" s="145"/>
      <c r="CX60" s="145"/>
      <c r="CY60" s="161">
        <f>+'Info recibida'!CY60/550</f>
        <v>3999999.999999993</v>
      </c>
      <c r="CZ60" s="151"/>
      <c r="DA60" s="514"/>
    </row>
    <row r="61" spans="2:105" ht="26.1" customHeight="1" x14ac:dyDescent="0.25">
      <c r="B61" s="204" t="s">
        <v>55</v>
      </c>
      <c r="C61" s="205" t="s">
        <v>357</v>
      </c>
      <c r="D61" s="47" t="s">
        <v>4</v>
      </c>
      <c r="E61" s="255" t="s">
        <v>405</v>
      </c>
      <c r="F61" s="48" t="s">
        <v>397</v>
      </c>
      <c r="G61" s="48" t="s">
        <v>116</v>
      </c>
      <c r="H61" s="49" t="s">
        <v>246</v>
      </c>
      <c r="I61" s="49" t="s">
        <v>230</v>
      </c>
      <c r="J61" s="206"/>
      <c r="K61" s="207"/>
      <c r="L61" s="208"/>
      <c r="N61" s="204" t="s">
        <v>455</v>
      </c>
      <c r="O61" s="47" t="s">
        <v>4</v>
      </c>
      <c r="P61" s="48" t="s">
        <v>453</v>
      </c>
      <c r="Q61" s="48" t="s">
        <v>314</v>
      </c>
      <c r="R61" s="48"/>
      <c r="S61" s="48" t="s">
        <v>314</v>
      </c>
      <c r="T61" s="48" t="s">
        <v>314</v>
      </c>
      <c r="U61" s="48"/>
      <c r="V61" s="48"/>
      <c r="W61" s="48" t="s">
        <v>307</v>
      </c>
      <c r="X61" s="48"/>
      <c r="Y61" s="48"/>
      <c r="Z61" s="48"/>
      <c r="AA61" s="48"/>
      <c r="AB61" s="48" t="s">
        <v>314</v>
      </c>
      <c r="AC61" s="48"/>
      <c r="AD61" s="48"/>
      <c r="AE61" s="209"/>
      <c r="AF61" s="47" t="s">
        <v>315</v>
      </c>
      <c r="AG61" s="210" t="s">
        <v>319</v>
      </c>
      <c r="AH61" s="97" t="s">
        <v>471</v>
      </c>
      <c r="AI61" s="170">
        <v>700</v>
      </c>
      <c r="AJ61" s="170">
        <v>700</v>
      </c>
      <c r="AK61" s="170">
        <v>700</v>
      </c>
      <c r="AL61" s="170">
        <v>700</v>
      </c>
      <c r="AM61" s="170">
        <v>200</v>
      </c>
      <c r="AN61" s="170">
        <v>200</v>
      </c>
      <c r="AO61" s="170">
        <v>200</v>
      </c>
      <c r="AP61" s="170">
        <v>200</v>
      </c>
      <c r="AQ61" s="170">
        <v>200</v>
      </c>
      <c r="AR61" s="170">
        <v>200</v>
      </c>
      <c r="AS61" s="170"/>
      <c r="AT61" s="170"/>
      <c r="AU61" s="170">
        <v>700</v>
      </c>
      <c r="AV61" s="170">
        <v>700</v>
      </c>
      <c r="AW61" s="170">
        <v>700</v>
      </c>
      <c r="AX61" s="170">
        <v>700</v>
      </c>
      <c r="AY61" s="170">
        <v>700</v>
      </c>
      <c r="AZ61" s="170">
        <v>700</v>
      </c>
      <c r="BA61" s="170">
        <v>700</v>
      </c>
      <c r="BB61" s="170">
        <v>700</v>
      </c>
      <c r="BC61" s="170">
        <v>700</v>
      </c>
      <c r="BD61" s="170"/>
      <c r="BE61" s="170"/>
      <c r="BF61" s="206" t="s">
        <v>311</v>
      </c>
      <c r="BG61" s="68" t="s">
        <v>321</v>
      </c>
      <c r="BH61" s="48" t="s">
        <v>313</v>
      </c>
      <c r="BI61" s="211">
        <f>+'Info recibida'!BJ61/550</f>
        <v>0</v>
      </c>
      <c r="BJ61" s="170">
        <f>+'Info recibida'!BK61/550</f>
        <v>785712.1212121211</v>
      </c>
      <c r="BK61" s="170">
        <f>+'Info recibida'!BL61/550</f>
        <v>785712.1212121211</v>
      </c>
      <c r="BL61" s="170">
        <f>+'Info recibida'!BM61/550</f>
        <v>785712.1212121211</v>
      </c>
      <c r="BM61" s="170">
        <f>+'Info recibida'!BN61/550</f>
        <v>179045.45454545456</v>
      </c>
      <c r="BN61" s="170">
        <f>+'Info recibida'!BO61/550</f>
        <v>179045.45454545456</v>
      </c>
      <c r="BO61" s="170">
        <f>+'Info recibida'!BP61/550</f>
        <v>179045.45454545456</v>
      </c>
      <c r="BP61" s="170">
        <f>+'Info recibida'!BQ61/550</f>
        <v>179045.45454545456</v>
      </c>
      <c r="BQ61" s="170">
        <f>+'Info recibida'!BR61/550</f>
        <v>179045.45454545456</v>
      </c>
      <c r="BR61" s="170">
        <f>+'Info recibida'!BS61/550</f>
        <v>179045.45454545456</v>
      </c>
      <c r="BS61" s="170">
        <f>+'Info recibida'!BT61/550</f>
        <v>3431409.0909090908</v>
      </c>
      <c r="BT61" s="341">
        <f>98475000*9/(98475000*9+2600000*550)</f>
        <v>0.38262943735091903</v>
      </c>
      <c r="BU61" s="48"/>
      <c r="BV61" s="330">
        <f>2600000*550/(98475000*9+2600000*550)</f>
        <v>0.61737056264908097</v>
      </c>
      <c r="BW61" s="243" t="s">
        <v>454</v>
      </c>
      <c r="BX61" s="212">
        <f>+'Info recibida'!BY61/550</f>
        <v>785712.1212121211</v>
      </c>
      <c r="BY61" s="170">
        <f>+'Info recibida'!BZ61/550</f>
        <v>785712.1212121211</v>
      </c>
      <c r="BZ61" s="170">
        <f>+'Info recibida'!CA61/550</f>
        <v>785712.1212121211</v>
      </c>
      <c r="CA61" s="170">
        <f>+'Info recibida'!CB61/550</f>
        <v>845712.12121212005</v>
      </c>
      <c r="CB61" s="170">
        <f>+'Info recibida'!CC61/550</f>
        <v>845712.12121212005</v>
      </c>
      <c r="CC61" s="170">
        <f>+'Info recibida'!CD61/550</f>
        <v>845712.12121212005</v>
      </c>
      <c r="CD61" s="170">
        <f>+'Info recibida'!CE61/550</f>
        <v>845712.12121212005</v>
      </c>
      <c r="CE61" s="170">
        <f>+'Info recibida'!CF61/550</f>
        <v>845712.12121212005</v>
      </c>
      <c r="CF61" s="218">
        <f>+'Info recibida'!CG61/550</f>
        <v>845712.12121212005</v>
      </c>
      <c r="CG61" s="213">
        <f t="shared" si="16"/>
        <v>7431409.0909090843</v>
      </c>
      <c r="CH61" s="217">
        <f>+'Info recibida'!CH61/550</f>
        <v>0</v>
      </c>
      <c r="CI61" s="217">
        <f>+'Info recibida'!CI61/550</f>
        <v>0</v>
      </c>
      <c r="CJ61" s="217">
        <f>+'Info recibida'!CJ61/550</f>
        <v>0</v>
      </c>
      <c r="CK61" s="217">
        <f>+'Info recibida'!CK61/550</f>
        <v>666666.66666666546</v>
      </c>
      <c r="CL61" s="217">
        <f>+'Info recibida'!CL61/550</f>
        <v>666666.66666666546</v>
      </c>
      <c r="CM61" s="217">
        <f>+'Info recibida'!CM61/550</f>
        <v>666666.66666666546</v>
      </c>
      <c r="CN61" s="217">
        <f>+'Info recibida'!CN61/550</f>
        <v>666666.66666666546</v>
      </c>
      <c r="CO61" s="217">
        <f>+'Info recibida'!CO61/550</f>
        <v>666666.66666666546</v>
      </c>
      <c r="CP61" s="217">
        <f>+'Info recibida'!CP61/550</f>
        <v>666666.66666666546</v>
      </c>
      <c r="CQ61" s="213">
        <f>+'Info recibida'!CQ61/550</f>
        <v>3999999.999999993</v>
      </c>
      <c r="CR61" s="70"/>
      <c r="CS61" s="71"/>
      <c r="CT61" s="71"/>
      <c r="CU61" s="210"/>
      <c r="CV61" s="210"/>
      <c r="CW61" s="210"/>
      <c r="CX61" s="210"/>
      <c r="CY61" s="221">
        <f>+'Info recibida'!CY61/550</f>
        <v>3999999.999999993</v>
      </c>
      <c r="CZ61" s="222"/>
      <c r="DA61" s="514">
        <f t="shared" si="17"/>
        <v>0.3323747857934331</v>
      </c>
    </row>
    <row r="62" spans="2:105" ht="26.1" customHeight="1" x14ac:dyDescent="0.25">
      <c r="B62" s="312" t="s">
        <v>57</v>
      </c>
      <c r="C62" s="205" t="s">
        <v>357</v>
      </c>
      <c r="D62" s="47" t="s">
        <v>2</v>
      </c>
      <c r="E62" s="77" t="s">
        <v>403</v>
      </c>
      <c r="F62" s="77" t="s">
        <v>393</v>
      </c>
      <c r="G62" s="48" t="s">
        <v>118</v>
      </c>
      <c r="H62" s="49" t="s">
        <v>246</v>
      </c>
      <c r="I62" s="49" t="s">
        <v>230</v>
      </c>
      <c r="J62" s="206"/>
      <c r="K62" s="207"/>
      <c r="L62" s="208"/>
      <c r="N62" s="312" t="s">
        <v>57</v>
      </c>
      <c r="O62" s="313" t="s">
        <v>3</v>
      </c>
      <c r="P62" s="77" t="s">
        <v>400</v>
      </c>
      <c r="Q62" s="48"/>
      <c r="R62" s="48" t="s">
        <v>307</v>
      </c>
      <c r="S62" s="48"/>
      <c r="T62" s="48"/>
      <c r="U62" s="48" t="s">
        <v>314</v>
      </c>
      <c r="V62" s="48"/>
      <c r="W62" s="48" t="s">
        <v>314</v>
      </c>
      <c r="X62" s="48"/>
      <c r="Y62" s="48"/>
      <c r="Z62" s="48"/>
      <c r="AA62" s="48"/>
      <c r="AB62" s="48" t="s">
        <v>314</v>
      </c>
      <c r="AC62" s="48"/>
      <c r="AD62" s="48"/>
      <c r="AE62" s="94"/>
      <c r="AF62" s="47" t="s">
        <v>315</v>
      </c>
      <c r="AG62" s="210" t="s">
        <v>316</v>
      </c>
      <c r="AH62" s="316" t="s">
        <v>481</v>
      </c>
      <c r="AI62" s="317"/>
      <c r="AJ62" s="317">
        <v>0</v>
      </c>
      <c r="AK62" s="317">
        <v>0</v>
      </c>
      <c r="AL62" s="317">
        <v>0</v>
      </c>
      <c r="AM62" s="317">
        <v>0</v>
      </c>
      <c r="AN62" s="317">
        <v>0</v>
      </c>
      <c r="AO62" s="317">
        <v>0</v>
      </c>
      <c r="AP62" s="317">
        <v>0</v>
      </c>
      <c r="AQ62" s="317">
        <v>0</v>
      </c>
      <c r="AR62" s="317">
        <v>0</v>
      </c>
      <c r="AS62" s="317"/>
      <c r="AT62" s="317"/>
      <c r="AU62" s="317">
        <v>1</v>
      </c>
      <c r="AV62" s="317">
        <v>0</v>
      </c>
      <c r="AW62" s="317">
        <v>0</v>
      </c>
      <c r="AX62" s="317">
        <v>0</v>
      </c>
      <c r="AY62" s="317">
        <v>0</v>
      </c>
      <c r="AZ62" s="317">
        <v>0</v>
      </c>
      <c r="BA62" s="317">
        <v>0</v>
      </c>
      <c r="BB62" s="317">
        <v>0</v>
      </c>
      <c r="BC62" s="317">
        <v>0</v>
      </c>
      <c r="BD62" s="317"/>
      <c r="BE62" s="318"/>
      <c r="BF62" s="319" t="s">
        <v>318</v>
      </c>
      <c r="BG62" s="68" t="s">
        <v>349</v>
      </c>
      <c r="BH62" s="77" t="s">
        <v>313</v>
      </c>
      <c r="BI62" s="494">
        <f>+'Info recibida'!BJ62/550</f>
        <v>0</v>
      </c>
      <c r="BJ62" s="317">
        <f>+'Info recibida'!BK62/550</f>
        <v>0</v>
      </c>
      <c r="BK62" s="317">
        <f>+'Info recibida'!BL62/550</f>
        <v>0</v>
      </c>
      <c r="BL62" s="317">
        <f>+'Info recibida'!BM62/550</f>
        <v>0</v>
      </c>
      <c r="BM62" s="317">
        <f>+'Info recibida'!BN62/550</f>
        <v>0</v>
      </c>
      <c r="BN62" s="317">
        <f>+'Info recibida'!BO62/550</f>
        <v>0</v>
      </c>
      <c r="BO62" s="317">
        <f>+'Info recibida'!BP62/550</f>
        <v>0</v>
      </c>
      <c r="BP62" s="317">
        <f>+'Info recibida'!BQ62/550</f>
        <v>0</v>
      </c>
      <c r="BQ62" s="317">
        <f>+'Info recibida'!BR62/550</f>
        <v>0</v>
      </c>
      <c r="BR62" s="317">
        <f>+'Info recibida'!BS62/550</f>
        <v>0</v>
      </c>
      <c r="BS62" s="317">
        <f>+'Info recibida'!BT62/550</f>
        <v>0</v>
      </c>
      <c r="BT62" s="77"/>
      <c r="BU62" s="77"/>
      <c r="BV62" s="77"/>
      <c r="BW62" s="323"/>
      <c r="BX62" s="321">
        <f>+'Info recibida'!BY62/550</f>
        <v>6000</v>
      </c>
      <c r="BY62" s="317">
        <f>+'Info recibida'!BZ62/550</f>
        <v>0</v>
      </c>
      <c r="BZ62" s="317">
        <f>+'Info recibida'!CA62/550</f>
        <v>0</v>
      </c>
      <c r="CA62" s="317">
        <f>+'Info recibida'!CB62/550</f>
        <v>0</v>
      </c>
      <c r="CB62" s="317">
        <f>+'Info recibida'!CC62/550</f>
        <v>0</v>
      </c>
      <c r="CC62" s="317">
        <f>+'Info recibida'!CD62/550</f>
        <v>0</v>
      </c>
      <c r="CD62" s="317">
        <f>+'Info recibida'!CE62/550</f>
        <v>0</v>
      </c>
      <c r="CE62" s="317">
        <f>+'Info recibida'!CF62/550</f>
        <v>0</v>
      </c>
      <c r="CF62" s="501">
        <f>+'Info recibida'!CG62/550</f>
        <v>0</v>
      </c>
      <c r="CG62" s="324">
        <f t="shared" si="16"/>
        <v>6000</v>
      </c>
      <c r="CH62" s="217">
        <f>+'Info recibida'!CH62/550</f>
        <v>6000</v>
      </c>
      <c r="CI62" s="170">
        <f>+'Info recibida'!CI62/550</f>
        <v>0</v>
      </c>
      <c r="CJ62" s="170">
        <f>+'Info recibida'!CJ62/550</f>
        <v>0</v>
      </c>
      <c r="CK62" s="170">
        <f>+'Info recibida'!CK62/550</f>
        <v>0</v>
      </c>
      <c r="CL62" s="170">
        <f>+'Info recibida'!CL62/550</f>
        <v>0</v>
      </c>
      <c r="CM62" s="170">
        <f>+'Info recibida'!CM62/550</f>
        <v>0</v>
      </c>
      <c r="CN62" s="170">
        <f>+'Info recibida'!CN62/550</f>
        <v>0</v>
      </c>
      <c r="CO62" s="170">
        <f>+'Info recibida'!CO62/550</f>
        <v>0</v>
      </c>
      <c r="CP62" s="170">
        <f>+'Info recibida'!CP62/550</f>
        <v>0</v>
      </c>
      <c r="CQ62" s="213">
        <f>+'Info recibida'!CQ62/550</f>
        <v>6000</v>
      </c>
      <c r="CR62" s="72"/>
      <c r="CS62" s="326">
        <v>6000</v>
      </c>
      <c r="CT62" s="73"/>
      <c r="CU62" s="315"/>
      <c r="CV62" s="315"/>
      <c r="CW62" s="315"/>
      <c r="CX62" s="315"/>
      <c r="CY62" s="221">
        <f>+'Info recibida'!CY62/550</f>
        <v>0</v>
      </c>
      <c r="CZ62" s="327"/>
      <c r="DA62" s="514">
        <f t="shared" si="17"/>
        <v>4.9856217869015049E-4</v>
      </c>
    </row>
    <row r="63" spans="2:105" ht="26.1" customHeight="1" x14ac:dyDescent="0.25">
      <c r="B63" s="143" t="s">
        <v>249</v>
      </c>
      <c r="C63" s="144" t="s">
        <v>355</v>
      </c>
      <c r="D63" s="59" t="s">
        <v>4</v>
      </c>
      <c r="E63" s="145"/>
      <c r="F63" s="60"/>
      <c r="G63" s="61"/>
      <c r="H63" s="62"/>
      <c r="I63" s="62"/>
      <c r="J63" s="147" t="s">
        <v>257</v>
      </c>
      <c r="K63" s="148"/>
      <c r="L63" s="149"/>
      <c r="N63" s="143" t="s">
        <v>249</v>
      </c>
      <c r="O63" s="150"/>
      <c r="P63" s="145"/>
      <c r="Q63" s="145"/>
      <c r="R63" s="145"/>
      <c r="S63" s="145"/>
      <c r="T63" s="145"/>
      <c r="U63" s="145"/>
      <c r="V63" s="145"/>
      <c r="W63" s="145"/>
      <c r="X63" s="145"/>
      <c r="Y63" s="145"/>
      <c r="Z63" s="145"/>
      <c r="AA63" s="145"/>
      <c r="AB63" s="145"/>
      <c r="AC63" s="145"/>
      <c r="AD63" s="145"/>
      <c r="AE63" s="151"/>
      <c r="AF63" s="150"/>
      <c r="AG63" s="145"/>
      <c r="AH63" s="145"/>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254"/>
      <c r="BF63" s="150"/>
      <c r="BG63" s="154" t="s">
        <v>355</v>
      </c>
      <c r="BH63" s="155"/>
      <c r="BI63" s="487">
        <f>+'Info recibida'!BJ63/550</f>
        <v>0</v>
      </c>
      <c r="BJ63" s="152">
        <f>+'Info recibida'!BK63/550</f>
        <v>0</v>
      </c>
      <c r="BK63" s="152">
        <f>+'Info recibida'!BL63/550</f>
        <v>12363.636363636364</v>
      </c>
      <c r="BL63" s="152">
        <f>+'Info recibida'!BM63/550</f>
        <v>6181.818181818182</v>
      </c>
      <c r="BM63" s="152">
        <f>+'Info recibida'!BN63/550</f>
        <v>6181.818181818182</v>
      </c>
      <c r="BN63" s="152">
        <f>+'Info recibida'!BO63/550</f>
        <v>0</v>
      </c>
      <c r="BO63" s="152">
        <f>+'Info recibida'!BP63/550</f>
        <v>0</v>
      </c>
      <c r="BP63" s="152">
        <f>+'Info recibida'!BQ63/550</f>
        <v>0</v>
      </c>
      <c r="BQ63" s="152">
        <f>+'Info recibida'!BR63/550</f>
        <v>0</v>
      </c>
      <c r="BR63" s="152">
        <f>+'Info recibida'!BS63/550</f>
        <v>0</v>
      </c>
      <c r="BS63" s="152">
        <f>+'Info recibida'!BT63/550</f>
        <v>24727.272727272728</v>
      </c>
      <c r="BT63" s="145"/>
      <c r="BU63" s="145"/>
      <c r="BV63" s="145"/>
      <c r="BW63" s="159"/>
      <c r="BX63" s="157">
        <f>+'Info recibida'!BY63/550</f>
        <v>0</v>
      </c>
      <c r="BY63" s="152">
        <f>+'Info recibida'!BZ63/550</f>
        <v>37090.909090909088</v>
      </c>
      <c r="BZ63" s="152">
        <f>+'Info recibida'!CA63/550</f>
        <v>12363.636363636364</v>
      </c>
      <c r="CA63" s="152">
        <f>+'Info recibida'!CB63/550</f>
        <v>12363.636363636364</v>
      </c>
      <c r="CB63" s="152">
        <f>+'Info recibida'!CC63/550</f>
        <v>0</v>
      </c>
      <c r="CC63" s="152">
        <f>+'Info recibida'!CD63/550</f>
        <v>0</v>
      </c>
      <c r="CD63" s="152">
        <f>+'Info recibida'!CE63/550</f>
        <v>0</v>
      </c>
      <c r="CE63" s="152">
        <f>+'Info recibida'!CF63/550</f>
        <v>0</v>
      </c>
      <c r="CF63" s="487">
        <f>+'Info recibida'!CG63/550</f>
        <v>0</v>
      </c>
      <c r="CG63" s="156">
        <f t="shared" si="16"/>
        <v>61818.181818181823</v>
      </c>
      <c r="CH63" s="157">
        <f>+'Info recibida'!CH63/550</f>
        <v>0</v>
      </c>
      <c r="CI63" s="152">
        <f>+'Info recibida'!CI63/550</f>
        <v>24727.272727272728</v>
      </c>
      <c r="CJ63" s="152">
        <f>+'Info recibida'!CJ63/550</f>
        <v>6181.818181818182</v>
      </c>
      <c r="CK63" s="152">
        <f>+'Info recibida'!CK63/550</f>
        <v>6181.818181818182</v>
      </c>
      <c r="CL63" s="152">
        <f>+'Info recibida'!CL63/550</f>
        <v>0</v>
      </c>
      <c r="CM63" s="152">
        <f>+'Info recibida'!CM63/550</f>
        <v>0</v>
      </c>
      <c r="CN63" s="152">
        <f>+'Info recibida'!CN63/550</f>
        <v>0</v>
      </c>
      <c r="CO63" s="152">
        <f>+'Info recibida'!CO63/550</f>
        <v>0</v>
      </c>
      <c r="CP63" s="152">
        <f>+'Info recibida'!CP63/550</f>
        <v>0</v>
      </c>
      <c r="CQ63" s="156">
        <f>+'Info recibida'!CQ63/550</f>
        <v>37090.909090909088</v>
      </c>
      <c r="CR63" s="158"/>
      <c r="CS63" s="160">
        <f>SUM(CS64)</f>
        <v>0</v>
      </c>
      <c r="CT63" s="145"/>
      <c r="CU63" s="145"/>
      <c r="CV63" s="145"/>
      <c r="CW63" s="145"/>
      <c r="CX63" s="145"/>
      <c r="CY63" s="161">
        <f>+'Info recibida'!CY63/550</f>
        <v>37090.909090909088</v>
      </c>
      <c r="CZ63" s="151"/>
      <c r="DA63" s="514"/>
    </row>
    <row r="64" spans="2:105" ht="26.1" customHeight="1" x14ac:dyDescent="0.25">
      <c r="B64" s="204" t="s">
        <v>56</v>
      </c>
      <c r="C64" s="205" t="s">
        <v>355</v>
      </c>
      <c r="D64" s="47" t="s">
        <v>4</v>
      </c>
      <c r="E64" s="48" t="s">
        <v>404</v>
      </c>
      <c r="F64" s="48" t="s">
        <v>394</v>
      </c>
      <c r="G64" s="48" t="s">
        <v>117</v>
      </c>
      <c r="H64" s="49"/>
      <c r="I64" s="49" t="s">
        <v>230</v>
      </c>
      <c r="J64" s="206"/>
      <c r="K64" s="207"/>
      <c r="L64" s="208"/>
      <c r="N64" s="204" t="s">
        <v>56</v>
      </c>
      <c r="O64" s="47" t="s">
        <v>4</v>
      </c>
      <c r="P64" s="48" t="s">
        <v>404</v>
      </c>
      <c r="Q64" s="48" t="s">
        <v>314</v>
      </c>
      <c r="R64" s="48" t="s">
        <v>314</v>
      </c>
      <c r="S64" s="48" t="s">
        <v>314</v>
      </c>
      <c r="T64" s="48"/>
      <c r="U64" s="48" t="s">
        <v>314</v>
      </c>
      <c r="V64" s="48"/>
      <c r="W64" s="48" t="s">
        <v>307</v>
      </c>
      <c r="X64" s="48"/>
      <c r="Y64" s="48"/>
      <c r="Z64" s="48"/>
      <c r="AA64" s="48"/>
      <c r="AB64" s="48" t="s">
        <v>314</v>
      </c>
      <c r="AC64" s="48"/>
      <c r="AD64" s="48"/>
      <c r="AE64" s="209"/>
      <c r="AF64" s="47" t="s">
        <v>315</v>
      </c>
      <c r="AG64" s="210" t="s">
        <v>316</v>
      </c>
      <c r="AH64" s="267" t="s">
        <v>317</v>
      </c>
      <c r="AI64" s="251">
        <v>0</v>
      </c>
      <c r="AJ64" s="251">
        <v>0</v>
      </c>
      <c r="AK64" s="251">
        <v>1</v>
      </c>
      <c r="AL64" s="251">
        <v>0.5</v>
      </c>
      <c r="AM64" s="251">
        <v>0.5</v>
      </c>
      <c r="AN64" s="251">
        <v>0</v>
      </c>
      <c r="AO64" s="251">
        <v>0</v>
      </c>
      <c r="AP64" s="251">
        <v>0</v>
      </c>
      <c r="AQ64" s="251">
        <v>0</v>
      </c>
      <c r="AR64" s="251">
        <v>0</v>
      </c>
      <c r="AS64" s="251"/>
      <c r="AT64" s="251"/>
      <c r="AU64" s="251">
        <v>0</v>
      </c>
      <c r="AV64" s="251">
        <v>3</v>
      </c>
      <c r="AW64" s="251">
        <v>1</v>
      </c>
      <c r="AX64" s="251">
        <v>1</v>
      </c>
      <c r="AY64" s="251">
        <v>0</v>
      </c>
      <c r="AZ64" s="251">
        <v>0</v>
      </c>
      <c r="BA64" s="251">
        <v>0</v>
      </c>
      <c r="BB64" s="251">
        <v>0</v>
      </c>
      <c r="BC64" s="251">
        <v>0</v>
      </c>
      <c r="BD64" s="251"/>
      <c r="BE64" s="331"/>
      <c r="BF64" s="206" t="s">
        <v>318</v>
      </c>
      <c r="BG64" s="257" t="s">
        <v>312</v>
      </c>
      <c r="BH64" s="48" t="s">
        <v>313</v>
      </c>
      <c r="BI64" s="252">
        <f>+'Info recibida'!BJ64/550</f>
        <v>0</v>
      </c>
      <c r="BJ64" s="170">
        <f>+'Info recibida'!BK64/550</f>
        <v>0</v>
      </c>
      <c r="BK64" s="170">
        <f>+'Info recibida'!BL64/550</f>
        <v>12363.636363636364</v>
      </c>
      <c r="BL64" s="170">
        <f>+'Info recibida'!BM64/550</f>
        <v>6181.818181818182</v>
      </c>
      <c r="BM64" s="170">
        <f>+'Info recibida'!BN64/550</f>
        <v>6181.818181818182</v>
      </c>
      <c r="BN64" s="170">
        <f>+'Info recibida'!BO64/550</f>
        <v>0</v>
      </c>
      <c r="BO64" s="170">
        <f>+'Info recibida'!BP64/550</f>
        <v>0</v>
      </c>
      <c r="BP64" s="170">
        <f>+'Info recibida'!BQ64/550</f>
        <v>0</v>
      </c>
      <c r="BQ64" s="170">
        <f>+'Info recibida'!BR64/550</f>
        <v>0</v>
      </c>
      <c r="BR64" s="170">
        <f>+'Info recibida'!BS64/550</f>
        <v>0</v>
      </c>
      <c r="BS64" s="170">
        <f>+'Info recibida'!BT64/550</f>
        <v>24727.272727272728</v>
      </c>
      <c r="BT64" s="308">
        <v>1</v>
      </c>
      <c r="BU64" s="48"/>
      <c r="BV64" s="48"/>
      <c r="BW64" s="243"/>
      <c r="BX64" s="212">
        <f>+'Info recibida'!BY64/550</f>
        <v>0</v>
      </c>
      <c r="BY64" s="170">
        <f>+'Info recibida'!BZ64/550</f>
        <v>37090.909090909088</v>
      </c>
      <c r="BZ64" s="170">
        <f>+'Info recibida'!CA64/550</f>
        <v>12363.636363636364</v>
      </c>
      <c r="CA64" s="170">
        <f>+'Info recibida'!CB64/550</f>
        <v>12363.636363636364</v>
      </c>
      <c r="CB64" s="170">
        <f>+'Info recibida'!CC64/550</f>
        <v>0</v>
      </c>
      <c r="CC64" s="170">
        <f>+'Info recibida'!CD64/550</f>
        <v>0</v>
      </c>
      <c r="CD64" s="170">
        <f>+'Info recibida'!CE64/550</f>
        <v>0</v>
      </c>
      <c r="CE64" s="170">
        <f>+'Info recibida'!CF64/550</f>
        <v>0</v>
      </c>
      <c r="CF64" s="218">
        <f>+'Info recibida'!CG64/550</f>
        <v>0</v>
      </c>
      <c r="CG64" s="213">
        <f t="shared" si="16"/>
        <v>61818.181818181823</v>
      </c>
      <c r="CH64" s="212">
        <f>+'Info recibida'!CH64/550</f>
        <v>0</v>
      </c>
      <c r="CI64" s="170">
        <f>+'Info recibida'!CI64/550</f>
        <v>24727.272727272728</v>
      </c>
      <c r="CJ64" s="170">
        <f>+'Info recibida'!CJ64/550</f>
        <v>6181.818181818182</v>
      </c>
      <c r="CK64" s="170">
        <f>+'Info recibida'!CK64/550</f>
        <v>6181.818181818182</v>
      </c>
      <c r="CL64" s="170">
        <f>+'Info recibida'!CL64/550</f>
        <v>0</v>
      </c>
      <c r="CM64" s="170">
        <f>+'Info recibida'!CM64/550</f>
        <v>0</v>
      </c>
      <c r="CN64" s="170">
        <f>+'Info recibida'!CN64/550</f>
        <v>0</v>
      </c>
      <c r="CO64" s="170">
        <f>+'Info recibida'!CO64/550</f>
        <v>0</v>
      </c>
      <c r="CP64" s="170">
        <f>+'Info recibida'!CP64/550</f>
        <v>0</v>
      </c>
      <c r="CQ64" s="213">
        <f>+'Info recibida'!CQ64/550</f>
        <v>37090.909090909088</v>
      </c>
      <c r="CR64" s="70"/>
      <c r="CS64" s="71"/>
      <c r="CT64" s="71"/>
      <c r="CU64" s="210"/>
      <c r="CV64" s="210"/>
      <c r="CW64" s="210"/>
      <c r="CX64" s="210"/>
      <c r="CY64" s="221">
        <f>+'Info recibida'!CY64/550</f>
        <v>37090.909090909088</v>
      </c>
      <c r="CZ64" s="222"/>
      <c r="DA64" s="514">
        <f t="shared" si="17"/>
        <v>3.0820207409936575E-3</v>
      </c>
    </row>
    <row r="65" spans="2:105" ht="26.1" customHeight="1" x14ac:dyDescent="0.25">
      <c r="B65" s="98" t="s">
        <v>60</v>
      </c>
      <c r="C65" s="99"/>
      <c r="D65" s="55"/>
      <c r="E65" s="126"/>
      <c r="F65" s="56"/>
      <c r="G65" s="58"/>
      <c r="H65" s="57"/>
      <c r="I65" s="57"/>
      <c r="J65" s="128"/>
      <c r="K65" s="129"/>
      <c r="L65" s="130"/>
      <c r="N65" s="98" t="s">
        <v>60</v>
      </c>
      <c r="O65" s="131"/>
      <c r="P65" s="126"/>
      <c r="Q65" s="126"/>
      <c r="R65" s="126"/>
      <c r="S65" s="126"/>
      <c r="T65" s="126"/>
      <c r="U65" s="126"/>
      <c r="V65" s="126"/>
      <c r="W65" s="126"/>
      <c r="X65" s="126"/>
      <c r="Y65" s="126"/>
      <c r="Z65" s="126"/>
      <c r="AA65" s="126"/>
      <c r="AB65" s="126"/>
      <c r="AC65" s="126"/>
      <c r="AD65" s="126"/>
      <c r="AE65" s="132"/>
      <c r="AF65" s="131"/>
      <c r="AG65" s="126"/>
      <c r="AH65" s="126"/>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263"/>
      <c r="BF65" s="131"/>
      <c r="BG65" s="126"/>
      <c r="BH65" s="134"/>
      <c r="BI65" s="486">
        <f>+'Info recibida'!BJ65/550</f>
        <v>119454.54545454546</v>
      </c>
      <c r="BJ65" s="133">
        <f>+'Info recibida'!BK65/550</f>
        <v>317109.09090909088</v>
      </c>
      <c r="BK65" s="133">
        <f>+'Info recibida'!BL65/550</f>
        <v>321263.27272727271</v>
      </c>
      <c r="BL65" s="133">
        <f>+'Info recibida'!BM65/550</f>
        <v>265565.11030303035</v>
      </c>
      <c r="BM65" s="133">
        <f>+'Info recibida'!BN65/550</f>
        <v>213166.91209696964</v>
      </c>
      <c r="BN65" s="133">
        <f>+'Info recibida'!BO65/550</f>
        <v>159160.40430836362</v>
      </c>
      <c r="BO65" s="133">
        <f>+'Info recibida'!BP65/550</f>
        <v>161788.85280125093</v>
      </c>
      <c r="BP65" s="133">
        <f>+'Info recibida'!BQ65/550</f>
        <v>161174.33656710663</v>
      </c>
      <c r="BQ65" s="133">
        <f>+'Info recibida'!BR65/550</f>
        <v>163863.20302775619</v>
      </c>
      <c r="BR65" s="133">
        <f>+'Info recibida'!BS65/550</f>
        <v>163310.91730040705</v>
      </c>
      <c r="BS65" s="133">
        <f>+'Info recibida'!BT65/550</f>
        <v>1926402.1000412481</v>
      </c>
      <c r="BT65" s="126"/>
      <c r="BU65" s="126"/>
      <c r="BV65" s="126"/>
      <c r="BW65" s="139"/>
      <c r="BX65" s="136">
        <f>+'Info recibida'!BY65/550</f>
        <v>1293490.9090909092</v>
      </c>
      <c r="BY65" s="133">
        <f>+'Info recibida'!BZ65/550</f>
        <v>1484246.1818181819</v>
      </c>
      <c r="BZ65" s="133">
        <f>+'Info recibida'!CA65/550</f>
        <v>851400.71393939399</v>
      </c>
      <c r="CA65" s="133">
        <f>+'Info recibida'!CB65/550</f>
        <v>590702.27344242425</v>
      </c>
      <c r="CB65" s="133">
        <f>+'Info recibida'!CC65/550</f>
        <v>483475.35897709086</v>
      </c>
      <c r="CC65" s="133">
        <f>+'Info recibida'!CD65/550</f>
        <v>500778.80469715269</v>
      </c>
      <c r="CD65" s="133">
        <f>+'Info recibida'!CE65/550</f>
        <v>543587.62839692237</v>
      </c>
      <c r="CE65" s="133">
        <f>+'Info recibida'!CF65/550</f>
        <v>607665.78963522578</v>
      </c>
      <c r="CF65" s="497">
        <f>+'Info recibida'!CG65/550</f>
        <v>562923.79726749705</v>
      </c>
      <c r="CG65" s="137">
        <f t="shared" si="16"/>
        <v>6918271.4572647978</v>
      </c>
      <c r="CH65" s="136">
        <f>+'Info recibida'!CH65/550</f>
        <v>976381.81818181823</v>
      </c>
      <c r="CI65" s="133">
        <f>+'Info recibida'!CI65/550</f>
        <v>1162982.9090909092</v>
      </c>
      <c r="CJ65" s="133">
        <f>+'Info recibida'!CJ65/550</f>
        <v>585835.60363636364</v>
      </c>
      <c r="CK65" s="133">
        <f>+'Info recibida'!CK65/550</f>
        <v>377535.36134545458</v>
      </c>
      <c r="CL65" s="133">
        <f>+'Info recibida'!CL65/550</f>
        <v>324314.95466872724</v>
      </c>
      <c r="CM65" s="133">
        <f>+'Info recibida'!CM65/550</f>
        <v>338989.95189590182</v>
      </c>
      <c r="CN65" s="133">
        <f>+'Info recibida'!CN65/550</f>
        <v>382413.29182981566</v>
      </c>
      <c r="CO65" s="133">
        <f>+'Info recibida'!CO65/550</f>
        <v>443802.58660746954</v>
      </c>
      <c r="CP65" s="133">
        <f>+'Info recibida'!CP65/550</f>
        <v>399612.87996708992</v>
      </c>
      <c r="CQ65" s="137">
        <f>+'Info recibida'!CQ65/550</f>
        <v>4991869.3572235489</v>
      </c>
      <c r="CR65" s="138"/>
      <c r="CS65" s="140">
        <f>+CS66+CS70+CS74+CS76+CS78+CS82+CS85+CS87+CS91+CS95+CS97</f>
        <v>2666500</v>
      </c>
      <c r="CT65" s="126"/>
      <c r="CU65" s="126"/>
      <c r="CV65" s="126"/>
      <c r="CW65" s="126"/>
      <c r="CX65" s="126"/>
      <c r="CY65" s="141">
        <f>+'Info recibida'!CY65/550</f>
        <v>2325369.3572235494</v>
      </c>
      <c r="CZ65" s="132"/>
      <c r="DA65" s="518">
        <f>SUM(DA66:DA98)</f>
        <v>1</v>
      </c>
    </row>
    <row r="66" spans="2:105" ht="26.1" customHeight="1" x14ac:dyDescent="0.25">
      <c r="B66" s="143" t="s">
        <v>61</v>
      </c>
      <c r="C66" s="144" t="s">
        <v>357</v>
      </c>
      <c r="D66" s="59" t="s">
        <v>4</v>
      </c>
      <c r="E66" s="145"/>
      <c r="F66" s="60"/>
      <c r="G66" s="61"/>
      <c r="H66" s="62"/>
      <c r="I66" s="62"/>
      <c r="J66" s="147" t="s">
        <v>259</v>
      </c>
      <c r="K66" s="148"/>
      <c r="L66" s="149"/>
      <c r="N66" s="143" t="s">
        <v>61</v>
      </c>
      <c r="O66" s="150"/>
      <c r="P66" s="145"/>
      <c r="Q66" s="145"/>
      <c r="R66" s="145"/>
      <c r="S66" s="145"/>
      <c r="T66" s="145"/>
      <c r="U66" s="145"/>
      <c r="V66" s="145"/>
      <c r="W66" s="145"/>
      <c r="X66" s="145"/>
      <c r="Y66" s="145"/>
      <c r="Z66" s="145"/>
      <c r="AA66" s="145"/>
      <c r="AB66" s="145"/>
      <c r="AC66" s="145"/>
      <c r="AD66" s="145"/>
      <c r="AE66" s="151"/>
      <c r="AF66" s="150"/>
      <c r="AG66" s="145"/>
      <c r="AH66" s="145"/>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254"/>
      <c r="BF66" s="150"/>
      <c r="BG66" s="154" t="s">
        <v>357</v>
      </c>
      <c r="BH66" s="155"/>
      <c r="BI66" s="487">
        <f>+'Info recibida'!BJ66/550</f>
        <v>21818.18181818182</v>
      </c>
      <c r="BJ66" s="152">
        <f>+'Info recibida'!BK66/550</f>
        <v>29381.81818181818</v>
      </c>
      <c r="BK66" s="152">
        <f>+'Info recibida'!BL66/550</f>
        <v>30263.272727272728</v>
      </c>
      <c r="BL66" s="152">
        <f>+'Info recibida'!BM66/550</f>
        <v>31171.17090909091</v>
      </c>
      <c r="BM66" s="152">
        <f>+'Info recibida'!BN66/550</f>
        <v>32106.306036363636</v>
      </c>
      <c r="BN66" s="152">
        <f>+'Info recibida'!BO66/550</f>
        <v>33069.495217454547</v>
      </c>
      <c r="BO66" s="152">
        <f>+'Info recibida'!BP66/550</f>
        <v>34061.580073978184</v>
      </c>
      <c r="BP66" s="152">
        <f>+'Info recibida'!BQ66/550</f>
        <v>35083.427476197532</v>
      </c>
      <c r="BQ66" s="152">
        <f>+'Info recibida'!BR66/550</f>
        <v>36135.930300483458</v>
      </c>
      <c r="BR66" s="152">
        <f>+'Info recibida'!BS66/550</f>
        <v>37220.008209497959</v>
      </c>
      <c r="BS66" s="152">
        <f>+'Info recibida'!BT66/550</f>
        <v>298493.0091321572</v>
      </c>
      <c r="BT66" s="145"/>
      <c r="BU66" s="145"/>
      <c r="BV66" s="145"/>
      <c r="BW66" s="159"/>
      <c r="BX66" s="157">
        <f>+'Info recibida'!BY66/550</f>
        <v>111472.72727272728</v>
      </c>
      <c r="BY66" s="152">
        <f>+'Info recibida'!BZ66/550</f>
        <v>222112.36363636365</v>
      </c>
      <c r="BZ66" s="152">
        <f>+'Info recibida'!CA66/550</f>
        <v>108821.18909090909</v>
      </c>
      <c r="CA66" s="152">
        <f>+'Info recibida'!CB66/550</f>
        <v>146631.27930909093</v>
      </c>
      <c r="CB66" s="152">
        <f>+'Info recibida'!CC66/550</f>
        <v>185575.67223381819</v>
      </c>
      <c r="CC66" s="152">
        <f>+'Info recibida'!CD66/550</f>
        <v>225688.39694628728</v>
      </c>
      <c r="CD66" s="152">
        <f>+'Info recibida'!CE66/550</f>
        <v>267004.50340013049</v>
      </c>
      <c r="CE66" s="152">
        <f>+'Info recibida'!CF66/550</f>
        <v>275014.63850213442</v>
      </c>
      <c r="CF66" s="487">
        <f>+'Info recibida'!CG66/550</f>
        <v>283265.07765719842</v>
      </c>
      <c r="CG66" s="156">
        <f t="shared" si="16"/>
        <v>1825585.84804866</v>
      </c>
      <c r="CH66" s="157">
        <f>+'Info recibida'!CH66/550</f>
        <v>82090.909090909088</v>
      </c>
      <c r="CI66" s="152">
        <f>+'Info recibida'!CI66/550</f>
        <v>191849.09090909091</v>
      </c>
      <c r="CJ66" s="152">
        <f>+'Info recibida'!CJ66/550</f>
        <v>77650.018181818188</v>
      </c>
      <c r="CK66" s="152">
        <f>+'Info recibida'!CK66/550</f>
        <v>114524.97327272726</v>
      </c>
      <c r="CL66" s="152">
        <f>+'Info recibida'!CL66/550</f>
        <v>152506.17701636362</v>
      </c>
      <c r="CM66" s="152">
        <f>+'Info recibida'!CM66/550</f>
        <v>191626.81687230911</v>
      </c>
      <c r="CN66" s="152">
        <f>+'Info recibida'!CN66/550</f>
        <v>231921.07592393292</v>
      </c>
      <c r="CO66" s="152">
        <f>+'Info recibida'!CO66/550</f>
        <v>238878.70820165094</v>
      </c>
      <c r="CP66" s="152">
        <f>+'Info recibida'!CP66/550</f>
        <v>246045.06944770043</v>
      </c>
      <c r="CQ66" s="156">
        <f>+'Info recibida'!CQ66/550</f>
        <v>1527092.8389165024</v>
      </c>
      <c r="CR66" s="158"/>
      <c r="CS66" s="160">
        <f>SUM(CS67:CS69)</f>
        <v>443000</v>
      </c>
      <c r="CT66" s="145"/>
      <c r="CU66" s="145"/>
      <c r="CV66" s="145"/>
      <c r="CW66" s="145"/>
      <c r="CX66" s="145"/>
      <c r="CY66" s="152">
        <f>+'Info recibida'!CY66/550</f>
        <v>1084092.8389165022</v>
      </c>
      <c r="CZ66" s="151"/>
      <c r="DA66" s="517"/>
    </row>
    <row r="67" spans="2:105" ht="26.1" customHeight="1" x14ac:dyDescent="0.25">
      <c r="B67" s="204" t="s">
        <v>62</v>
      </c>
      <c r="C67" s="205" t="s">
        <v>356</v>
      </c>
      <c r="D67" s="47" t="s">
        <v>4</v>
      </c>
      <c r="E67" s="48" t="s">
        <v>406</v>
      </c>
      <c r="F67" s="48" t="s">
        <v>63</v>
      </c>
      <c r="G67" s="48" t="s">
        <v>119</v>
      </c>
      <c r="H67" s="49"/>
      <c r="I67" s="49" t="s">
        <v>214</v>
      </c>
      <c r="J67" s="206"/>
      <c r="K67" s="207"/>
      <c r="L67" s="208"/>
      <c r="N67" s="204" t="s">
        <v>62</v>
      </c>
      <c r="O67" s="47" t="s">
        <v>4</v>
      </c>
      <c r="P67" s="48" t="s">
        <v>406</v>
      </c>
      <c r="Q67" s="48" t="s">
        <v>314</v>
      </c>
      <c r="R67" s="48" t="s">
        <v>314</v>
      </c>
      <c r="S67" s="48" t="s">
        <v>314</v>
      </c>
      <c r="T67" s="48" t="s">
        <v>314</v>
      </c>
      <c r="U67" s="48"/>
      <c r="V67" s="48"/>
      <c r="W67" s="48" t="s">
        <v>307</v>
      </c>
      <c r="X67" s="48"/>
      <c r="Y67" s="48" t="s">
        <v>314</v>
      </c>
      <c r="Z67" s="48"/>
      <c r="AA67" s="48"/>
      <c r="AB67" s="48" t="s">
        <v>314</v>
      </c>
      <c r="AC67" s="48"/>
      <c r="AD67" s="48" t="s">
        <v>314</v>
      </c>
      <c r="AE67" s="94"/>
      <c r="AF67" s="47" t="s">
        <v>315</v>
      </c>
      <c r="AG67" s="210" t="s">
        <v>319</v>
      </c>
      <c r="AH67" s="267" t="s">
        <v>327</v>
      </c>
      <c r="AI67" s="170">
        <v>24000</v>
      </c>
      <c r="AJ67" s="170">
        <v>500</v>
      </c>
      <c r="AK67" s="170">
        <v>500</v>
      </c>
      <c r="AL67" s="170">
        <v>500</v>
      </c>
      <c r="AM67" s="170">
        <v>500</v>
      </c>
      <c r="AN67" s="170">
        <v>500</v>
      </c>
      <c r="AO67" s="170">
        <v>500</v>
      </c>
      <c r="AP67" s="170">
        <v>500</v>
      </c>
      <c r="AQ67" s="170">
        <v>500</v>
      </c>
      <c r="AR67" s="170">
        <v>500</v>
      </c>
      <c r="AS67" s="170"/>
      <c r="AT67" s="170"/>
      <c r="AU67" s="170">
        <v>500</v>
      </c>
      <c r="AV67" s="170">
        <v>500</v>
      </c>
      <c r="AW67" s="170">
        <v>500</v>
      </c>
      <c r="AX67" s="170">
        <v>500</v>
      </c>
      <c r="AY67" s="170">
        <v>500</v>
      </c>
      <c r="AZ67" s="170">
        <v>500</v>
      </c>
      <c r="BA67" s="170">
        <v>500</v>
      </c>
      <c r="BB67" s="170">
        <v>500</v>
      </c>
      <c r="BC67" s="170">
        <v>500</v>
      </c>
      <c r="BD67" s="170"/>
      <c r="BE67" s="260"/>
      <c r="BF67" s="206" t="s">
        <v>4</v>
      </c>
      <c r="BG67" s="68" t="s">
        <v>321</v>
      </c>
      <c r="BH67" s="48" t="s">
        <v>323</v>
      </c>
      <c r="BI67" s="252">
        <f>+'Info recibida'!BJ67/550</f>
        <v>21818.18181818182</v>
      </c>
      <c r="BJ67" s="170">
        <f>+'Info recibida'!BK67/550</f>
        <v>22472.727272727272</v>
      </c>
      <c r="BK67" s="170">
        <f>+'Info recibida'!BL67/550</f>
        <v>23146.909090909092</v>
      </c>
      <c r="BL67" s="170">
        <f>+'Info recibida'!BM67/550</f>
        <v>23841.316363636364</v>
      </c>
      <c r="BM67" s="170">
        <f>+'Info recibida'!BN67/550</f>
        <v>24556.555854545455</v>
      </c>
      <c r="BN67" s="170">
        <f>+'Info recibida'!BO67/550</f>
        <v>25293.25253018182</v>
      </c>
      <c r="BO67" s="170">
        <f>+'Info recibida'!BP67/550</f>
        <v>26052.050106087278</v>
      </c>
      <c r="BP67" s="170">
        <f>+'Info recibida'!BQ67/550</f>
        <v>26833.611609269894</v>
      </c>
      <c r="BQ67" s="170">
        <f>+'Info recibida'!BR67/550</f>
        <v>27638.619957547995</v>
      </c>
      <c r="BR67" s="170">
        <f>+'Info recibida'!BS67/550</f>
        <v>28467.778556274432</v>
      </c>
      <c r="BS67" s="170">
        <f>+'Info recibida'!BT67/550</f>
        <v>228302.8213411796</v>
      </c>
      <c r="BT67" s="215">
        <v>1</v>
      </c>
      <c r="BU67" s="48"/>
      <c r="BV67" s="48"/>
      <c r="BW67" s="243"/>
      <c r="BX67" s="212">
        <f>+'Info recibida'!BY67/550</f>
        <v>22472.727272727272</v>
      </c>
      <c r="BY67" s="170">
        <f>+'Info recibida'!BZ67/550</f>
        <v>57692.36363636364</v>
      </c>
      <c r="BZ67" s="170">
        <f>+'Info recibida'!CA67/550</f>
        <v>93968.589090909096</v>
      </c>
      <c r="CA67" s="170">
        <f>+'Info recibida'!CB67/550</f>
        <v>131333.10130909091</v>
      </c>
      <c r="CB67" s="170">
        <f>+'Info recibida'!CC67/550</f>
        <v>169818.54889381817</v>
      </c>
      <c r="CC67" s="170">
        <f>+'Info recibida'!CD67/550</f>
        <v>209458.55990608726</v>
      </c>
      <c r="CD67" s="170">
        <f>+'Info recibida'!CE67/550</f>
        <v>250287.77124872446</v>
      </c>
      <c r="CE67" s="170">
        <f>+'Info recibida'!CF67/550</f>
        <v>257796.40438618622</v>
      </c>
      <c r="CF67" s="218">
        <f>+'Info recibida'!CG67/550</f>
        <v>265530.29651777179</v>
      </c>
      <c r="CG67" s="213">
        <f t="shared" si="16"/>
        <v>1458358.3622616786</v>
      </c>
      <c r="CH67" s="212">
        <f>+'Info recibida'!CH67/550</f>
        <v>0</v>
      </c>
      <c r="CI67" s="170">
        <f>+'Info recibida'!CI67/550</f>
        <v>34545.454545454544</v>
      </c>
      <c r="CJ67" s="170">
        <f>+'Info recibida'!CJ67/550</f>
        <v>70127.272727272721</v>
      </c>
      <c r="CK67" s="170">
        <f>+'Info recibida'!CK67/550</f>
        <v>106776.54545454546</v>
      </c>
      <c r="CL67" s="170">
        <f>+'Info recibida'!CL67/550</f>
        <v>144525.29636363636</v>
      </c>
      <c r="CM67" s="170">
        <f>+'Info recibida'!CM67/550</f>
        <v>183406.5098</v>
      </c>
      <c r="CN67" s="170">
        <f>+'Info recibida'!CN67/550</f>
        <v>223454.15963945456</v>
      </c>
      <c r="CO67" s="170">
        <f>+'Info recibida'!CO67/550</f>
        <v>230157.78442863823</v>
      </c>
      <c r="CP67" s="170">
        <f>+'Info recibida'!CP67/550</f>
        <v>237062.51796149736</v>
      </c>
      <c r="CQ67" s="213">
        <f>+'Info recibida'!CQ67/550</f>
        <v>1230055.540920499</v>
      </c>
      <c r="CR67" s="70"/>
      <c r="CS67" s="220">
        <v>218000</v>
      </c>
      <c r="CT67" s="71" t="s">
        <v>328</v>
      </c>
      <c r="CU67" s="210"/>
      <c r="CV67" s="210"/>
      <c r="CW67" s="210"/>
      <c r="CX67" s="210"/>
      <c r="CY67" s="221">
        <f>+'Info recibida'!CY67/550</f>
        <v>1012055.540920499</v>
      </c>
      <c r="CZ67" s="222"/>
      <c r="DA67" s="517">
        <f t="shared" ref="DA67:DA98" si="18">+CQ67/CQ$65</f>
        <v>0.24641180545731456</v>
      </c>
    </row>
    <row r="68" spans="2:105" ht="26.1" customHeight="1" x14ac:dyDescent="0.25">
      <c r="B68" s="237" t="s">
        <v>64</v>
      </c>
      <c r="C68" s="275" t="s">
        <v>357</v>
      </c>
      <c r="D68" s="47" t="s">
        <v>4</v>
      </c>
      <c r="E68" s="48" t="s">
        <v>406</v>
      </c>
      <c r="F68" s="48" t="s">
        <v>63</v>
      </c>
      <c r="G68" s="48" t="s">
        <v>120</v>
      </c>
      <c r="H68" s="49"/>
      <c r="I68" s="49" t="s">
        <v>221</v>
      </c>
      <c r="J68" s="206"/>
      <c r="K68" s="207"/>
      <c r="L68" s="208"/>
      <c r="N68" s="237" t="s">
        <v>64</v>
      </c>
      <c r="O68" s="47" t="s">
        <v>4</v>
      </c>
      <c r="P68" s="48" t="s">
        <v>406</v>
      </c>
      <c r="Q68" s="48" t="s">
        <v>314</v>
      </c>
      <c r="R68" s="48" t="s">
        <v>314</v>
      </c>
      <c r="S68" s="48" t="s">
        <v>314</v>
      </c>
      <c r="T68" s="48"/>
      <c r="U68" s="48"/>
      <c r="V68" s="48"/>
      <c r="W68" s="48" t="s">
        <v>307</v>
      </c>
      <c r="X68" s="48"/>
      <c r="Y68" s="48"/>
      <c r="Z68" s="48"/>
      <c r="AA68" s="48"/>
      <c r="AB68" s="48" t="s">
        <v>314</v>
      </c>
      <c r="AC68" s="48"/>
      <c r="AD68" s="48" t="s">
        <v>314</v>
      </c>
      <c r="AE68" s="209"/>
      <c r="AF68" s="47" t="s">
        <v>315</v>
      </c>
      <c r="AG68" s="210" t="s">
        <v>309</v>
      </c>
      <c r="AH68" s="68" t="s">
        <v>329</v>
      </c>
      <c r="AI68" s="170">
        <v>50</v>
      </c>
      <c r="AJ68" s="170">
        <v>1</v>
      </c>
      <c r="AK68" s="170">
        <v>1</v>
      </c>
      <c r="AL68" s="170">
        <v>1</v>
      </c>
      <c r="AM68" s="170">
        <v>1</v>
      </c>
      <c r="AN68" s="170">
        <v>1</v>
      </c>
      <c r="AO68" s="170">
        <v>1</v>
      </c>
      <c r="AP68" s="170">
        <v>1</v>
      </c>
      <c r="AQ68" s="170">
        <v>1</v>
      </c>
      <c r="AR68" s="170">
        <v>1</v>
      </c>
      <c r="AS68" s="170"/>
      <c r="AT68" s="170"/>
      <c r="AU68" s="170">
        <v>2</v>
      </c>
      <c r="AV68" s="170">
        <v>3</v>
      </c>
      <c r="AW68" s="170">
        <v>2</v>
      </c>
      <c r="AX68" s="170">
        <v>3</v>
      </c>
      <c r="AY68" s="170">
        <v>2</v>
      </c>
      <c r="AZ68" s="170">
        <v>3</v>
      </c>
      <c r="BA68" s="170">
        <v>2</v>
      </c>
      <c r="BB68" s="170">
        <v>3</v>
      </c>
      <c r="BC68" s="170">
        <v>2</v>
      </c>
      <c r="BD68" s="170"/>
      <c r="BE68" s="260"/>
      <c r="BF68" s="206" t="s">
        <v>330</v>
      </c>
      <c r="BG68" s="68" t="s">
        <v>349</v>
      </c>
      <c r="BH68" s="48" t="s">
        <v>313</v>
      </c>
      <c r="BI68" s="252">
        <f>+'Info recibida'!BJ68/550</f>
        <v>0</v>
      </c>
      <c r="BJ68" s="170">
        <f>+'Info recibida'!BK68/550</f>
        <v>6909.090909090909</v>
      </c>
      <c r="BK68" s="170">
        <f>+'Info recibida'!BL68/550</f>
        <v>7116.363636363636</v>
      </c>
      <c r="BL68" s="170">
        <f>+'Info recibida'!BM68/550</f>
        <v>7329.8545454545456</v>
      </c>
      <c r="BM68" s="170">
        <f>+'Info recibida'!BN68/550</f>
        <v>7549.7501818181818</v>
      </c>
      <c r="BN68" s="170">
        <f>+'Info recibida'!BO68/550</f>
        <v>7776.2426872727274</v>
      </c>
      <c r="BO68" s="170">
        <f>+'Info recibida'!BP68/550</f>
        <v>8009.5299678909105</v>
      </c>
      <c r="BP68" s="170">
        <f>+'Info recibida'!BQ68/550</f>
        <v>8249.8158669276381</v>
      </c>
      <c r="BQ68" s="170">
        <f>+'Info recibida'!BR68/550</f>
        <v>8497.3103429354669</v>
      </c>
      <c r="BR68" s="170">
        <f>+'Info recibida'!BS68/550</f>
        <v>8752.2296532235305</v>
      </c>
      <c r="BS68" s="170">
        <f>+'Info recibida'!BT68/550</f>
        <v>70190.187790977565</v>
      </c>
      <c r="BT68" s="215">
        <v>1</v>
      </c>
      <c r="BU68" s="48"/>
      <c r="BV68" s="48"/>
      <c r="BW68" s="243"/>
      <c r="BX68" s="212">
        <f>+'Info recibida'!BY68/550</f>
        <v>14000</v>
      </c>
      <c r="BY68" s="170">
        <f>+'Info recibida'!BZ68/550</f>
        <v>14420</v>
      </c>
      <c r="BZ68" s="170">
        <f>+'Info recibida'!CA68/550</f>
        <v>14852.6</v>
      </c>
      <c r="CA68" s="170">
        <f>+'Info recibida'!CB68/550</f>
        <v>15298.178</v>
      </c>
      <c r="CB68" s="170">
        <f>+'Info recibida'!CC68/550</f>
        <v>15757.123340000002</v>
      </c>
      <c r="CC68" s="170">
        <f>+'Info recibida'!CD68/550</f>
        <v>16229.837040200004</v>
      </c>
      <c r="CD68" s="170">
        <f>+'Info recibida'!CE68/550</f>
        <v>16716.732151406006</v>
      </c>
      <c r="CE68" s="170">
        <f>+'Info recibida'!CF68/550</f>
        <v>17218.234115948188</v>
      </c>
      <c r="CF68" s="218">
        <f>+'Info recibida'!CG68/550</f>
        <v>17734.781139426632</v>
      </c>
      <c r="CG68" s="213">
        <f t="shared" si="16"/>
        <v>142227.48578698083</v>
      </c>
      <c r="CH68" s="212">
        <f>+'Info recibida'!CH68/550</f>
        <v>7090.909090909091</v>
      </c>
      <c r="CI68" s="170">
        <f>+'Info recibida'!CI68/550</f>
        <v>7303.636363636364</v>
      </c>
      <c r="CJ68" s="170">
        <f>+'Info recibida'!CJ68/550</f>
        <v>7522.7454545454548</v>
      </c>
      <c r="CK68" s="170">
        <f>+'Info recibida'!CK68/550</f>
        <v>7748.4278181818199</v>
      </c>
      <c r="CL68" s="170">
        <f>+'Info recibida'!CL68/550</f>
        <v>7980.8806527272745</v>
      </c>
      <c r="CM68" s="170">
        <f>+'Info recibida'!CM68/550</f>
        <v>8220.3070723090932</v>
      </c>
      <c r="CN68" s="170">
        <f>+'Info recibida'!CN68/550</f>
        <v>8466.9162844783659</v>
      </c>
      <c r="CO68" s="170">
        <f>+'Info recibida'!CO68/550</f>
        <v>8720.9237730127188</v>
      </c>
      <c r="CP68" s="170">
        <f>+'Info recibida'!CP68/550</f>
        <v>8982.5514862030996</v>
      </c>
      <c r="CQ68" s="213">
        <f>+'Info recibida'!CQ68/550</f>
        <v>72037.297996003283</v>
      </c>
      <c r="CR68" s="70"/>
      <c r="CS68" s="220"/>
      <c r="CT68" s="71"/>
      <c r="CU68" s="210"/>
      <c r="CV68" s="210"/>
      <c r="CW68" s="210"/>
      <c r="CX68" s="210"/>
      <c r="CY68" s="221">
        <f>+'Info recibida'!CY68/550</f>
        <v>72037.297996003283</v>
      </c>
      <c r="CZ68" s="222"/>
      <c r="DA68" s="517">
        <f t="shared" si="18"/>
        <v>1.4430926140276645E-2</v>
      </c>
    </row>
    <row r="69" spans="2:105" ht="26.1" customHeight="1" x14ac:dyDescent="0.25">
      <c r="B69" s="204" t="s">
        <v>65</v>
      </c>
      <c r="C69" s="205" t="s">
        <v>357</v>
      </c>
      <c r="D69" s="47" t="s">
        <v>4</v>
      </c>
      <c r="E69" s="48" t="s">
        <v>403</v>
      </c>
      <c r="F69" s="48" t="s">
        <v>393</v>
      </c>
      <c r="G69" s="48" t="s">
        <v>121</v>
      </c>
      <c r="H69" s="49" t="s">
        <v>246</v>
      </c>
      <c r="I69" s="49" t="s">
        <v>235</v>
      </c>
      <c r="J69" s="206"/>
      <c r="K69" s="207"/>
      <c r="L69" s="208"/>
      <c r="N69" s="312" t="s">
        <v>65</v>
      </c>
      <c r="O69" s="313" t="s">
        <v>4</v>
      </c>
      <c r="P69" s="77" t="s">
        <v>403</v>
      </c>
      <c r="Q69" s="77"/>
      <c r="R69" s="77" t="s">
        <v>314</v>
      </c>
      <c r="S69" s="77" t="s">
        <v>314</v>
      </c>
      <c r="T69" s="77" t="s">
        <v>314</v>
      </c>
      <c r="U69" s="77" t="s">
        <v>314</v>
      </c>
      <c r="V69" s="77"/>
      <c r="W69" s="77" t="s">
        <v>307</v>
      </c>
      <c r="X69" s="77"/>
      <c r="Y69" s="77"/>
      <c r="Z69" s="77"/>
      <c r="AA69" s="77"/>
      <c r="AB69" s="77" t="s">
        <v>314</v>
      </c>
      <c r="AC69" s="77"/>
      <c r="AD69" s="77"/>
      <c r="AE69" s="314"/>
      <c r="AF69" s="313" t="s">
        <v>315</v>
      </c>
      <c r="AG69" s="315" t="s">
        <v>319</v>
      </c>
      <c r="AH69" s="316" t="s">
        <v>483</v>
      </c>
      <c r="AI69" s="317">
        <v>1</v>
      </c>
      <c r="AJ69" s="317">
        <v>0</v>
      </c>
      <c r="AK69" s="317">
        <v>0</v>
      </c>
      <c r="AL69" s="317">
        <v>0</v>
      </c>
      <c r="AM69" s="317">
        <v>0</v>
      </c>
      <c r="AN69" s="317">
        <v>0</v>
      </c>
      <c r="AO69" s="317">
        <v>0</v>
      </c>
      <c r="AP69" s="317">
        <v>0</v>
      </c>
      <c r="AQ69" s="317">
        <v>0</v>
      </c>
      <c r="AR69" s="317">
        <v>0</v>
      </c>
      <c r="AS69" s="317"/>
      <c r="AT69" s="317"/>
      <c r="AU69" s="317">
        <v>1</v>
      </c>
      <c r="AV69" s="317">
        <v>0</v>
      </c>
      <c r="AW69" s="317">
        <v>0</v>
      </c>
      <c r="AX69" s="317">
        <v>0</v>
      </c>
      <c r="AY69" s="317">
        <v>0</v>
      </c>
      <c r="AZ69" s="317">
        <v>0</v>
      </c>
      <c r="BA69" s="317">
        <v>0</v>
      </c>
      <c r="BB69" s="317">
        <v>0</v>
      </c>
      <c r="BC69" s="317">
        <v>0</v>
      </c>
      <c r="BD69" s="317"/>
      <c r="BE69" s="318"/>
      <c r="BF69" s="319" t="s">
        <v>330</v>
      </c>
      <c r="BG69" s="68" t="s">
        <v>349</v>
      </c>
      <c r="BH69" s="77" t="s">
        <v>313</v>
      </c>
      <c r="BI69" s="494">
        <f>+'Info recibida'!BJ69/550</f>
        <v>0</v>
      </c>
      <c r="BJ69" s="317">
        <f>+'Info recibida'!BK69/550</f>
        <v>0</v>
      </c>
      <c r="BK69" s="317">
        <f>+'Info recibida'!BL69/550</f>
        <v>0</v>
      </c>
      <c r="BL69" s="317">
        <f>+'Info recibida'!BM69/550</f>
        <v>0</v>
      </c>
      <c r="BM69" s="317">
        <f>+'Info recibida'!BN69/550</f>
        <v>0</v>
      </c>
      <c r="BN69" s="317">
        <f>+'Info recibida'!BO69/550</f>
        <v>0</v>
      </c>
      <c r="BO69" s="317">
        <f>+'Info recibida'!BP69/550</f>
        <v>0</v>
      </c>
      <c r="BP69" s="317">
        <f>+'Info recibida'!BQ69/550</f>
        <v>0</v>
      </c>
      <c r="BQ69" s="317">
        <f>+'Info recibida'!BR69/550</f>
        <v>0</v>
      </c>
      <c r="BR69" s="317">
        <f>+'Info recibida'!BS69/550</f>
        <v>0</v>
      </c>
      <c r="BS69" s="170">
        <f>+'Info recibida'!BT69/550</f>
        <v>0</v>
      </c>
      <c r="BT69" s="77"/>
      <c r="BU69" s="77"/>
      <c r="BV69" s="77"/>
      <c r="BW69" s="323"/>
      <c r="BX69" s="321">
        <f>+'Info recibida'!BY69/550</f>
        <v>75000</v>
      </c>
      <c r="BY69" s="317">
        <f>+'Info recibida'!BZ69/550</f>
        <v>150000</v>
      </c>
      <c r="BZ69" s="317">
        <f>+'Info recibida'!CA69/550</f>
        <v>0</v>
      </c>
      <c r="CA69" s="317">
        <f>+'Info recibida'!CB69/550</f>
        <v>0</v>
      </c>
      <c r="CB69" s="317">
        <f>+'Info recibida'!CC69/550</f>
        <v>0</v>
      </c>
      <c r="CC69" s="317">
        <f>+'Info recibida'!CD69/550</f>
        <v>0</v>
      </c>
      <c r="CD69" s="317">
        <f>+'Info recibida'!CE69/550</f>
        <v>0</v>
      </c>
      <c r="CE69" s="317">
        <f>+'Info recibida'!CF69/550</f>
        <v>0</v>
      </c>
      <c r="CF69" s="501">
        <f>+'Info recibida'!CG69/550</f>
        <v>0</v>
      </c>
      <c r="CG69" s="213">
        <f t="shared" si="16"/>
        <v>225000</v>
      </c>
      <c r="CH69" s="217">
        <f>+'Info recibida'!CH69/550</f>
        <v>75000</v>
      </c>
      <c r="CI69" s="170">
        <f>+'Info recibida'!CI69/550</f>
        <v>150000</v>
      </c>
      <c r="CJ69" s="170">
        <f>+'Info recibida'!CJ69/550</f>
        <v>0</v>
      </c>
      <c r="CK69" s="170">
        <f>+'Info recibida'!CK69/550</f>
        <v>0</v>
      </c>
      <c r="CL69" s="170">
        <f>+'Info recibida'!CL69/550</f>
        <v>0</v>
      </c>
      <c r="CM69" s="170">
        <f>+'Info recibida'!CM69/550</f>
        <v>0</v>
      </c>
      <c r="CN69" s="170">
        <f>+'Info recibida'!CN69/550</f>
        <v>0</v>
      </c>
      <c r="CO69" s="170">
        <f>+'Info recibida'!CO69/550</f>
        <v>0</v>
      </c>
      <c r="CP69" s="170">
        <f>+'Info recibida'!CP69/550</f>
        <v>0</v>
      </c>
      <c r="CQ69" s="213">
        <f>+'Info recibida'!CQ69/550</f>
        <v>225000</v>
      </c>
      <c r="CR69" s="72"/>
      <c r="CS69" s="326">
        <f>150000+75000</f>
        <v>225000</v>
      </c>
      <c r="CT69" s="73" t="s">
        <v>482</v>
      </c>
      <c r="CU69" s="315"/>
      <c r="CV69" s="315"/>
      <c r="CW69" s="315"/>
      <c r="CX69" s="315"/>
      <c r="CY69" s="221">
        <f>+'Info recibida'!CY69/550</f>
        <v>0</v>
      </c>
      <c r="CZ69" s="327"/>
      <c r="DA69" s="517">
        <f t="shared" si="18"/>
        <v>4.5073294972035043E-2</v>
      </c>
    </row>
    <row r="70" spans="2:105" ht="26.1" customHeight="1" x14ac:dyDescent="0.25">
      <c r="B70" s="143" t="s">
        <v>66</v>
      </c>
      <c r="C70" s="144" t="s">
        <v>357</v>
      </c>
      <c r="D70" s="59" t="s">
        <v>490</v>
      </c>
      <c r="E70" s="145"/>
      <c r="F70" s="60"/>
      <c r="G70" s="61"/>
      <c r="H70" s="62"/>
      <c r="I70" s="62"/>
      <c r="J70" s="147" t="s">
        <v>259</v>
      </c>
      <c r="K70" s="148"/>
      <c r="L70" s="149"/>
      <c r="N70" s="143" t="s">
        <v>66</v>
      </c>
      <c r="O70" s="150"/>
      <c r="P70" s="145"/>
      <c r="Q70" s="145"/>
      <c r="R70" s="145"/>
      <c r="S70" s="145"/>
      <c r="T70" s="145"/>
      <c r="U70" s="145"/>
      <c r="V70" s="145"/>
      <c r="W70" s="145"/>
      <c r="X70" s="145"/>
      <c r="Y70" s="145"/>
      <c r="Z70" s="145"/>
      <c r="AA70" s="145"/>
      <c r="AB70" s="145"/>
      <c r="AC70" s="145"/>
      <c r="AD70" s="145"/>
      <c r="AE70" s="151"/>
      <c r="AF70" s="150"/>
      <c r="AG70" s="145"/>
      <c r="AH70" s="145"/>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254"/>
      <c r="BF70" s="150"/>
      <c r="BG70" s="154" t="s">
        <v>357</v>
      </c>
      <c r="BH70" s="155"/>
      <c r="BI70" s="487">
        <f>+'Info recibida'!BJ70/550</f>
        <v>0</v>
      </c>
      <c r="BJ70" s="152">
        <f>+'Info recibida'!BK70/550</f>
        <v>11090.90909090909</v>
      </c>
      <c r="BK70" s="152">
        <f>+'Info recibida'!BL70/550</f>
        <v>11090.90909090909</v>
      </c>
      <c r="BL70" s="152">
        <f>+'Info recibida'!BM70/550</f>
        <v>11090.90909090909</v>
      </c>
      <c r="BM70" s="152">
        <f>+'Info recibida'!BN70/550</f>
        <v>11090.90909090909</v>
      </c>
      <c r="BN70" s="152">
        <f>+'Info recibida'!BO70/550</f>
        <v>11090.90909090909</v>
      </c>
      <c r="BO70" s="152">
        <f>+'Info recibida'!BP70/550</f>
        <v>11090.90909090909</v>
      </c>
      <c r="BP70" s="152">
        <f>+'Info recibida'!BQ70/550</f>
        <v>11090.90909090909</v>
      </c>
      <c r="BQ70" s="152">
        <f>+'Info recibida'!BR70/550</f>
        <v>11090.90909090909</v>
      </c>
      <c r="BR70" s="152">
        <f>+'Info recibida'!BS70/550</f>
        <v>11090.90909090909</v>
      </c>
      <c r="BS70" s="152">
        <f>+'Info recibida'!BT70/550</f>
        <v>99818.181818181823</v>
      </c>
      <c r="BT70" s="145"/>
      <c r="BU70" s="145"/>
      <c r="BV70" s="145"/>
      <c r="BW70" s="159"/>
      <c r="BX70" s="157">
        <f>+'Info recibida'!BY70/550</f>
        <v>100681.81818181818</v>
      </c>
      <c r="BY70" s="152">
        <f>+'Info recibida'!BZ70/550</f>
        <v>82181.818181818177</v>
      </c>
      <c r="BZ70" s="152">
        <f>+'Info recibida'!CA70/550</f>
        <v>22181.81818181818</v>
      </c>
      <c r="CA70" s="152">
        <f>+'Info recibida'!CB70/550</f>
        <v>22181.81818181818</v>
      </c>
      <c r="CB70" s="152">
        <f>+'Info recibida'!CC70/550</f>
        <v>22181.81818181818</v>
      </c>
      <c r="CC70" s="152">
        <f>+'Info recibida'!CD70/550</f>
        <v>22181.81818181818</v>
      </c>
      <c r="CD70" s="152">
        <f>+'Info recibida'!CE70/550</f>
        <v>22181.81818181818</v>
      </c>
      <c r="CE70" s="152">
        <f>+'Info recibida'!CF70/550</f>
        <v>22181.81818181818</v>
      </c>
      <c r="CF70" s="487">
        <f>+'Info recibida'!CG70/550</f>
        <v>22181.81818181818</v>
      </c>
      <c r="CG70" s="156">
        <f t="shared" ref="CG70:CG82" si="19">SUM(BX70:CF70)</f>
        <v>338136.36363636359</v>
      </c>
      <c r="CH70" s="157">
        <f>+'Info recibida'!CH70/550</f>
        <v>89590.909090909088</v>
      </c>
      <c r="CI70" s="152">
        <f>+'Info recibida'!CI70/550</f>
        <v>71090.909090909088</v>
      </c>
      <c r="CJ70" s="152">
        <f>+'Info recibida'!CJ70/550</f>
        <v>11090.90909090909</v>
      </c>
      <c r="CK70" s="152">
        <f>+'Info recibida'!CK70/550</f>
        <v>11090.90909090909</v>
      </c>
      <c r="CL70" s="152">
        <f>+'Info recibida'!CL70/550</f>
        <v>11090.90909090909</v>
      </c>
      <c r="CM70" s="152">
        <f>+'Info recibida'!CM70/550</f>
        <v>11090.90909090909</v>
      </c>
      <c r="CN70" s="152">
        <f>+'Info recibida'!CN70/550</f>
        <v>11090.90909090909</v>
      </c>
      <c r="CO70" s="152">
        <f>+'Info recibida'!CO70/550</f>
        <v>11090.90909090909</v>
      </c>
      <c r="CP70" s="152">
        <f>+'Info recibida'!CP70/550</f>
        <v>11090.90909090909</v>
      </c>
      <c r="CQ70" s="156">
        <f>+'Info recibida'!CQ70/550</f>
        <v>238318.18181818182</v>
      </c>
      <c r="CR70" s="158"/>
      <c r="CS70" s="160">
        <f>SUM(CS71:CS73)</f>
        <v>228500</v>
      </c>
      <c r="CT70" s="145"/>
      <c r="CU70" s="145"/>
      <c r="CV70" s="145"/>
      <c r="CW70" s="145"/>
      <c r="CX70" s="145"/>
      <c r="CY70" s="152">
        <f>+'Info recibida'!CY70/550</f>
        <v>9818.181818181818</v>
      </c>
      <c r="CZ70" s="151"/>
      <c r="DA70" s="517"/>
    </row>
    <row r="71" spans="2:105" ht="26.1" customHeight="1" x14ac:dyDescent="0.25">
      <c r="B71" s="204" t="s">
        <v>67</v>
      </c>
      <c r="C71" s="205" t="s">
        <v>356</v>
      </c>
      <c r="D71" s="47" t="s">
        <v>4</v>
      </c>
      <c r="E71" s="48" t="s">
        <v>406</v>
      </c>
      <c r="F71" s="48" t="s">
        <v>63</v>
      </c>
      <c r="G71" s="48" t="s">
        <v>122</v>
      </c>
      <c r="H71" s="49"/>
      <c r="I71" s="49" t="s">
        <v>236</v>
      </c>
      <c r="J71" s="206"/>
      <c r="K71" s="207"/>
      <c r="L71" s="208"/>
      <c r="N71" s="204" t="s">
        <v>67</v>
      </c>
      <c r="O71" s="47" t="s">
        <v>4</v>
      </c>
      <c r="P71" s="48" t="s">
        <v>406</v>
      </c>
      <c r="Q71" s="48" t="s">
        <v>314</v>
      </c>
      <c r="R71" s="48" t="s">
        <v>314</v>
      </c>
      <c r="S71" s="48" t="s">
        <v>314</v>
      </c>
      <c r="T71" s="48" t="s">
        <v>314</v>
      </c>
      <c r="U71" s="48"/>
      <c r="V71" s="48"/>
      <c r="W71" s="48" t="s">
        <v>307</v>
      </c>
      <c r="X71" s="48"/>
      <c r="Y71" s="48" t="s">
        <v>314</v>
      </c>
      <c r="Z71" s="48"/>
      <c r="AA71" s="48"/>
      <c r="AB71" s="48"/>
      <c r="AC71" s="48"/>
      <c r="AD71" s="48"/>
      <c r="AE71" s="209"/>
      <c r="AF71" s="47" t="s">
        <v>308</v>
      </c>
      <c r="AG71" s="210" t="s">
        <v>309</v>
      </c>
      <c r="AH71" s="267" t="s">
        <v>331</v>
      </c>
      <c r="AI71" s="170">
        <v>0</v>
      </c>
      <c r="AJ71" s="170">
        <v>52</v>
      </c>
      <c r="AK71" s="170">
        <v>52</v>
      </c>
      <c r="AL71" s="170">
        <v>52</v>
      </c>
      <c r="AM71" s="170">
        <v>52</v>
      </c>
      <c r="AN71" s="170">
        <v>52</v>
      </c>
      <c r="AO71" s="170">
        <v>52</v>
      </c>
      <c r="AP71" s="170">
        <v>52</v>
      </c>
      <c r="AQ71" s="170">
        <v>52</v>
      </c>
      <c r="AR71" s="170">
        <v>52</v>
      </c>
      <c r="AS71" s="170"/>
      <c r="AT71" s="170"/>
      <c r="AU71" s="170">
        <f>+AJ71*2</f>
        <v>104</v>
      </c>
      <c r="AV71" s="170">
        <f t="shared" ref="AV71:BC71" si="20">+AK71*2</f>
        <v>104</v>
      </c>
      <c r="AW71" s="170">
        <f t="shared" si="20"/>
        <v>104</v>
      </c>
      <c r="AX71" s="170">
        <f t="shared" si="20"/>
        <v>104</v>
      </c>
      <c r="AY71" s="170">
        <f t="shared" si="20"/>
        <v>104</v>
      </c>
      <c r="AZ71" s="170">
        <f t="shared" si="20"/>
        <v>104</v>
      </c>
      <c r="BA71" s="170">
        <f t="shared" si="20"/>
        <v>104</v>
      </c>
      <c r="BB71" s="170">
        <f t="shared" si="20"/>
        <v>104</v>
      </c>
      <c r="BC71" s="170">
        <f t="shared" si="20"/>
        <v>104</v>
      </c>
      <c r="BD71" s="170"/>
      <c r="BE71" s="260"/>
      <c r="BF71" s="206" t="s">
        <v>4</v>
      </c>
      <c r="BG71" s="68" t="s">
        <v>321</v>
      </c>
      <c r="BH71" s="48" t="s">
        <v>323</v>
      </c>
      <c r="BI71" s="211">
        <f>+'Info recibida'!BJ71/550</f>
        <v>0</v>
      </c>
      <c r="BJ71" s="170">
        <f>+'Info recibida'!BK71/550</f>
        <v>9454.545454545454</v>
      </c>
      <c r="BK71" s="170">
        <f>+'Info recibida'!BL71/550</f>
        <v>9454.545454545454</v>
      </c>
      <c r="BL71" s="170">
        <f>+'Info recibida'!BM71/550</f>
        <v>9454.545454545454</v>
      </c>
      <c r="BM71" s="170">
        <f>+'Info recibida'!BN71/550</f>
        <v>9454.545454545454</v>
      </c>
      <c r="BN71" s="170">
        <f>+'Info recibida'!BO71/550</f>
        <v>9454.545454545454</v>
      </c>
      <c r="BO71" s="170">
        <f>+'Info recibida'!BP71/550</f>
        <v>9454.545454545454</v>
      </c>
      <c r="BP71" s="170">
        <f>+'Info recibida'!BQ71/550</f>
        <v>9454.545454545454</v>
      </c>
      <c r="BQ71" s="170">
        <f>+'Info recibida'!BR71/550</f>
        <v>9454.545454545454</v>
      </c>
      <c r="BR71" s="170">
        <f>+'Info recibida'!BS71/550</f>
        <v>9454.545454545454</v>
      </c>
      <c r="BS71" s="170">
        <f>+'Info recibida'!BT71/550</f>
        <v>85090.909090909088</v>
      </c>
      <c r="BT71" s="308">
        <v>1</v>
      </c>
      <c r="BU71" s="48"/>
      <c r="BV71" s="48"/>
      <c r="BW71" s="243"/>
      <c r="BX71" s="212">
        <f>+'Info recibida'!BY71/550</f>
        <v>18909.090909090908</v>
      </c>
      <c r="BY71" s="170">
        <f>+'Info recibida'!BZ71/550</f>
        <v>18909.090909090908</v>
      </c>
      <c r="BZ71" s="170">
        <f>+'Info recibida'!CA71/550</f>
        <v>18909.090909090908</v>
      </c>
      <c r="CA71" s="170">
        <f>+'Info recibida'!CB71/550</f>
        <v>18909.090909090908</v>
      </c>
      <c r="CB71" s="170">
        <f>+'Info recibida'!CC71/550</f>
        <v>18909.090909090908</v>
      </c>
      <c r="CC71" s="170">
        <f>+'Info recibida'!CD71/550</f>
        <v>18909.090909090908</v>
      </c>
      <c r="CD71" s="170">
        <f>+'Info recibida'!CE71/550</f>
        <v>18909.090909090908</v>
      </c>
      <c r="CE71" s="170">
        <f>+'Info recibida'!CF71/550</f>
        <v>18909.090909090908</v>
      </c>
      <c r="CF71" s="218">
        <f>+'Info recibida'!CG71/550</f>
        <v>18909.090909090908</v>
      </c>
      <c r="CG71" s="213">
        <f t="shared" si="19"/>
        <v>170181.81818181818</v>
      </c>
      <c r="CH71" s="212">
        <f>+'Info recibida'!CH71/550</f>
        <v>9454.545454545454</v>
      </c>
      <c r="CI71" s="170">
        <f>+'Info recibida'!CI71/550</f>
        <v>9454.545454545454</v>
      </c>
      <c r="CJ71" s="170">
        <f>+'Info recibida'!CJ71/550</f>
        <v>9454.545454545454</v>
      </c>
      <c r="CK71" s="170">
        <f>+'Info recibida'!CK71/550</f>
        <v>9454.545454545454</v>
      </c>
      <c r="CL71" s="170">
        <f>+'Info recibida'!CL71/550</f>
        <v>9454.545454545454</v>
      </c>
      <c r="CM71" s="170">
        <f>+'Info recibida'!CM71/550</f>
        <v>9454.545454545454</v>
      </c>
      <c r="CN71" s="170">
        <f>+'Info recibida'!CN71/550</f>
        <v>9454.545454545454</v>
      </c>
      <c r="CO71" s="170">
        <f>+'Info recibida'!CO71/550</f>
        <v>9454.545454545454</v>
      </c>
      <c r="CP71" s="170">
        <f>+'Info recibida'!CP71/550</f>
        <v>9454.545454545454</v>
      </c>
      <c r="CQ71" s="213">
        <f>+'Info recibida'!CQ71/550</f>
        <v>85090.909090909088</v>
      </c>
      <c r="CR71" s="70"/>
      <c r="CS71" s="220">
        <v>76000</v>
      </c>
      <c r="CT71" s="71" t="s">
        <v>332</v>
      </c>
      <c r="CU71" s="210"/>
      <c r="CV71" s="210"/>
      <c r="CW71" s="210"/>
      <c r="CX71" s="210"/>
      <c r="CY71" s="221">
        <f>+'Info recibida'!CY71/550</f>
        <v>9090.9090909090901</v>
      </c>
      <c r="CZ71" s="222"/>
      <c r="DA71" s="517">
        <f t="shared" si="18"/>
        <v>1.7045900643969616E-2</v>
      </c>
    </row>
    <row r="72" spans="2:105" ht="26.1" customHeight="1" x14ac:dyDescent="0.25">
      <c r="B72" s="312" t="s">
        <v>68</v>
      </c>
      <c r="C72" s="205" t="s">
        <v>357</v>
      </c>
      <c r="D72" s="47" t="s">
        <v>2</v>
      </c>
      <c r="E72" s="255"/>
      <c r="F72" s="77" t="s">
        <v>401</v>
      </c>
      <c r="G72" s="48" t="s">
        <v>123</v>
      </c>
      <c r="H72" s="49"/>
      <c r="I72" s="49" t="s">
        <v>214</v>
      </c>
      <c r="J72" s="206"/>
      <c r="K72" s="207"/>
      <c r="L72" s="208"/>
      <c r="N72" s="312" t="s">
        <v>68</v>
      </c>
      <c r="O72" s="332"/>
      <c r="P72" s="77" t="s">
        <v>401</v>
      </c>
      <c r="Q72" s="255"/>
      <c r="R72" s="255"/>
      <c r="S72" s="255"/>
      <c r="T72" s="255"/>
      <c r="U72" s="255"/>
      <c r="V72" s="255"/>
      <c r="W72" s="255"/>
      <c r="X72" s="255"/>
      <c r="Y72" s="255"/>
      <c r="Z72" s="255"/>
      <c r="AA72" s="255"/>
      <c r="AB72" s="255"/>
      <c r="AC72" s="255"/>
      <c r="AD72" s="255"/>
      <c r="AE72" s="333"/>
      <c r="AF72" s="332"/>
      <c r="AG72" s="255"/>
      <c r="AH72" s="255"/>
      <c r="AI72" s="272"/>
      <c r="AJ72" s="272"/>
      <c r="AK72" s="272"/>
      <c r="AL72" s="272"/>
      <c r="AM72" s="272"/>
      <c r="AN72" s="272"/>
      <c r="AO72" s="272"/>
      <c r="AP72" s="272"/>
      <c r="AQ72" s="272"/>
      <c r="AR72" s="272"/>
      <c r="AS72" s="272"/>
      <c r="AT72" s="272"/>
      <c r="AU72" s="272"/>
      <c r="AV72" s="272"/>
      <c r="AW72" s="272"/>
      <c r="AX72" s="272"/>
      <c r="AY72" s="272"/>
      <c r="AZ72" s="272"/>
      <c r="BA72" s="272"/>
      <c r="BB72" s="272"/>
      <c r="BC72" s="272"/>
      <c r="BD72" s="272"/>
      <c r="BE72" s="334"/>
      <c r="BF72" s="332"/>
      <c r="BG72" s="68" t="s">
        <v>349</v>
      </c>
      <c r="BH72" s="335" t="s">
        <v>323</v>
      </c>
      <c r="BI72" s="414">
        <f>+'Info recibida'!BJ72/550</f>
        <v>0</v>
      </c>
      <c r="BJ72" s="272">
        <f>+'Info recibida'!BK72/550</f>
        <v>0</v>
      </c>
      <c r="BK72" s="272">
        <f>+'Info recibida'!BL72/550</f>
        <v>0</v>
      </c>
      <c r="BL72" s="272">
        <f>+'Info recibida'!BM72/550</f>
        <v>0</v>
      </c>
      <c r="BM72" s="272">
        <f>+'Info recibida'!BN72/550</f>
        <v>0</v>
      </c>
      <c r="BN72" s="272">
        <f>+'Info recibida'!BO72/550</f>
        <v>0</v>
      </c>
      <c r="BO72" s="272">
        <f>+'Info recibida'!BP72/550</f>
        <v>0</v>
      </c>
      <c r="BP72" s="272">
        <f>+'Info recibida'!BQ72/550</f>
        <v>0</v>
      </c>
      <c r="BQ72" s="272">
        <f>+'Info recibida'!BR72/550</f>
        <v>0</v>
      </c>
      <c r="BR72" s="272">
        <f>+'Info recibida'!BS72/550</f>
        <v>0</v>
      </c>
      <c r="BS72" s="170">
        <f>+'Info recibida'!BT72/550</f>
        <v>0</v>
      </c>
      <c r="BT72" s="255"/>
      <c r="BU72" s="255"/>
      <c r="BV72" s="255"/>
      <c r="BW72" s="336"/>
      <c r="BX72" s="337">
        <f>+'Info recibida'!BY72/550</f>
        <v>78500</v>
      </c>
      <c r="BY72" s="272">
        <f>+'Info recibida'!BZ72/550</f>
        <v>60000</v>
      </c>
      <c r="BZ72" s="272">
        <f>+'Info recibida'!CA72/550</f>
        <v>0</v>
      </c>
      <c r="CA72" s="272">
        <f>+'Info recibida'!CB72/550</f>
        <v>0</v>
      </c>
      <c r="CB72" s="272">
        <f>+'Info recibida'!CC72/550</f>
        <v>0</v>
      </c>
      <c r="CC72" s="272">
        <f>+'Info recibida'!CD72/550</f>
        <v>0</v>
      </c>
      <c r="CD72" s="272">
        <f>+'Info recibida'!CE72/550</f>
        <v>0</v>
      </c>
      <c r="CE72" s="272">
        <f>+'Info recibida'!CF72/550</f>
        <v>0</v>
      </c>
      <c r="CF72" s="502">
        <f>+'Info recibida'!CG72/550</f>
        <v>0</v>
      </c>
      <c r="CG72" s="213">
        <f t="shared" si="19"/>
        <v>138500</v>
      </c>
      <c r="CH72" s="217">
        <f>+'Info recibida'!CH72/550</f>
        <v>78500</v>
      </c>
      <c r="CI72" s="170">
        <f>+'Info recibida'!CI72/550</f>
        <v>60000</v>
      </c>
      <c r="CJ72" s="170">
        <f>+'Info recibida'!CJ72/550</f>
        <v>0</v>
      </c>
      <c r="CK72" s="170">
        <f>+'Info recibida'!CK72/550</f>
        <v>0</v>
      </c>
      <c r="CL72" s="170">
        <f>+'Info recibida'!CL72/550</f>
        <v>0</v>
      </c>
      <c r="CM72" s="170">
        <f>+'Info recibida'!CM72/550</f>
        <v>0</v>
      </c>
      <c r="CN72" s="170">
        <f>+'Info recibida'!CN72/550</f>
        <v>0</v>
      </c>
      <c r="CO72" s="170">
        <f>+'Info recibida'!CO72/550</f>
        <v>0</v>
      </c>
      <c r="CP72" s="170">
        <f>+'Info recibida'!CP72/550</f>
        <v>0</v>
      </c>
      <c r="CQ72" s="213">
        <f>+'Info recibida'!CQ72/550</f>
        <v>138500</v>
      </c>
      <c r="CR72" s="338"/>
      <c r="CS72" s="220">
        <v>138500</v>
      </c>
      <c r="CT72" s="255" t="s">
        <v>485</v>
      </c>
      <c r="CU72" s="255"/>
      <c r="CV72" s="255"/>
      <c r="CW72" s="255"/>
      <c r="CX72" s="255"/>
      <c r="CY72" s="221">
        <f>+'Info recibida'!CY72/550</f>
        <v>0</v>
      </c>
      <c r="CZ72" s="333"/>
      <c r="DA72" s="517">
        <f t="shared" si="18"/>
        <v>2.7745117127230462E-2</v>
      </c>
    </row>
    <row r="73" spans="2:105" ht="26.1" customHeight="1" x14ac:dyDescent="0.25">
      <c r="B73" s="204" t="s">
        <v>69</v>
      </c>
      <c r="C73" s="205" t="s">
        <v>357</v>
      </c>
      <c r="D73" s="47" t="s">
        <v>4</v>
      </c>
      <c r="E73" s="48" t="s">
        <v>406</v>
      </c>
      <c r="F73" s="48" t="s">
        <v>63</v>
      </c>
      <c r="G73" s="48" t="s">
        <v>124</v>
      </c>
      <c r="H73" s="49"/>
      <c r="I73" s="49" t="s">
        <v>236</v>
      </c>
      <c r="J73" s="206"/>
      <c r="K73" s="207"/>
      <c r="L73" s="208"/>
      <c r="N73" s="204" t="s">
        <v>69</v>
      </c>
      <c r="O73" s="47" t="s">
        <v>4</v>
      </c>
      <c r="P73" s="48" t="s">
        <v>406</v>
      </c>
      <c r="Q73" s="48" t="s">
        <v>314</v>
      </c>
      <c r="R73" s="48" t="s">
        <v>314</v>
      </c>
      <c r="S73" s="48" t="s">
        <v>314</v>
      </c>
      <c r="T73" s="48" t="s">
        <v>314</v>
      </c>
      <c r="U73" s="48"/>
      <c r="V73" s="48"/>
      <c r="W73" s="48" t="s">
        <v>307</v>
      </c>
      <c r="X73" s="48"/>
      <c r="Y73" s="48" t="s">
        <v>314</v>
      </c>
      <c r="Z73" s="48"/>
      <c r="AA73" s="48"/>
      <c r="AB73" s="48" t="s">
        <v>314</v>
      </c>
      <c r="AC73" s="48"/>
      <c r="AD73" s="48"/>
      <c r="AE73" s="209"/>
      <c r="AF73" s="47" t="s">
        <v>315</v>
      </c>
      <c r="AG73" s="210" t="s">
        <v>316</v>
      </c>
      <c r="AH73" s="68" t="s">
        <v>333</v>
      </c>
      <c r="AI73" s="170"/>
      <c r="AJ73" s="170">
        <v>9</v>
      </c>
      <c r="AK73" s="170">
        <v>9</v>
      </c>
      <c r="AL73" s="170">
        <v>9</v>
      </c>
      <c r="AM73" s="170">
        <v>9</v>
      </c>
      <c r="AN73" s="170">
        <v>9</v>
      </c>
      <c r="AO73" s="170">
        <v>9</v>
      </c>
      <c r="AP73" s="170">
        <v>9</v>
      </c>
      <c r="AQ73" s="170">
        <v>9</v>
      </c>
      <c r="AR73" s="170">
        <v>9</v>
      </c>
      <c r="AS73" s="170"/>
      <c r="AT73" s="170"/>
      <c r="AU73" s="170">
        <f>+AJ73*2</f>
        <v>18</v>
      </c>
      <c r="AV73" s="170">
        <f t="shared" ref="AV73:BC73" si="21">+AK73*2</f>
        <v>18</v>
      </c>
      <c r="AW73" s="170">
        <f t="shared" si="21"/>
        <v>18</v>
      </c>
      <c r="AX73" s="170">
        <f t="shared" si="21"/>
        <v>18</v>
      </c>
      <c r="AY73" s="170">
        <f t="shared" si="21"/>
        <v>18</v>
      </c>
      <c r="AZ73" s="170">
        <f t="shared" si="21"/>
        <v>18</v>
      </c>
      <c r="BA73" s="170">
        <f t="shared" si="21"/>
        <v>18</v>
      </c>
      <c r="BB73" s="170">
        <f t="shared" si="21"/>
        <v>18</v>
      </c>
      <c r="BC73" s="170">
        <f t="shared" si="21"/>
        <v>18</v>
      </c>
      <c r="BD73" s="170"/>
      <c r="BE73" s="260"/>
      <c r="BF73" s="206" t="s">
        <v>334</v>
      </c>
      <c r="BG73" s="68" t="s">
        <v>349</v>
      </c>
      <c r="BH73" s="48" t="s">
        <v>313</v>
      </c>
      <c r="BI73" s="211">
        <f>+'Info recibida'!BJ73/550</f>
        <v>0</v>
      </c>
      <c r="BJ73" s="170">
        <f>+'Info recibida'!BK73/550</f>
        <v>1636.3636363636363</v>
      </c>
      <c r="BK73" s="170">
        <f>+'Info recibida'!BL73/550</f>
        <v>1636.3636363636363</v>
      </c>
      <c r="BL73" s="170">
        <f>+'Info recibida'!BM73/550</f>
        <v>1636.3636363636363</v>
      </c>
      <c r="BM73" s="170">
        <f>+'Info recibida'!BN73/550</f>
        <v>1636.3636363636363</v>
      </c>
      <c r="BN73" s="170">
        <f>+'Info recibida'!BO73/550</f>
        <v>1636.3636363636363</v>
      </c>
      <c r="BO73" s="170">
        <f>+'Info recibida'!BP73/550</f>
        <v>1636.3636363636363</v>
      </c>
      <c r="BP73" s="170">
        <f>+'Info recibida'!BQ73/550</f>
        <v>1636.3636363636363</v>
      </c>
      <c r="BQ73" s="170">
        <f>+'Info recibida'!BR73/550</f>
        <v>1636.3636363636363</v>
      </c>
      <c r="BR73" s="170">
        <f>+'Info recibida'!BS73/550</f>
        <v>1636.3636363636363</v>
      </c>
      <c r="BS73" s="170">
        <f>+'Info recibida'!BT73/550</f>
        <v>14727.272727272728</v>
      </c>
      <c r="BT73" s="308">
        <v>1</v>
      </c>
      <c r="BU73" s="48"/>
      <c r="BV73" s="48"/>
      <c r="BW73" s="243"/>
      <c r="BX73" s="212">
        <f>+'Info recibida'!BY73/550</f>
        <v>3272.7272727272725</v>
      </c>
      <c r="BY73" s="170">
        <f>+'Info recibida'!BZ73/550</f>
        <v>3272.7272727272725</v>
      </c>
      <c r="BZ73" s="170">
        <f>+'Info recibida'!CA73/550</f>
        <v>3272.7272727272725</v>
      </c>
      <c r="CA73" s="170">
        <f>+'Info recibida'!CB73/550</f>
        <v>3272.7272727272725</v>
      </c>
      <c r="CB73" s="170">
        <f>+'Info recibida'!CC73/550</f>
        <v>3272.7272727272725</v>
      </c>
      <c r="CC73" s="170">
        <f>+'Info recibida'!CD73/550</f>
        <v>3272.7272727272725</v>
      </c>
      <c r="CD73" s="170">
        <f>+'Info recibida'!CE73/550</f>
        <v>3272.7272727272725</v>
      </c>
      <c r="CE73" s="170">
        <f>+'Info recibida'!CF73/550</f>
        <v>3272.7272727272725</v>
      </c>
      <c r="CF73" s="218">
        <f>+'Info recibida'!CG73/550</f>
        <v>3272.7272727272725</v>
      </c>
      <c r="CG73" s="213">
        <f t="shared" si="19"/>
        <v>29454.545454545452</v>
      </c>
      <c r="CH73" s="212">
        <f>+'Info recibida'!CH73/550</f>
        <v>1636.3636363636363</v>
      </c>
      <c r="CI73" s="170">
        <f>+'Info recibida'!CI73/550</f>
        <v>1636.3636363636363</v>
      </c>
      <c r="CJ73" s="170">
        <f>+'Info recibida'!CJ73/550</f>
        <v>1636.3636363636363</v>
      </c>
      <c r="CK73" s="170">
        <f>+'Info recibida'!CK73/550</f>
        <v>1636.3636363636363</v>
      </c>
      <c r="CL73" s="170">
        <f>+'Info recibida'!CL73/550</f>
        <v>1636.3636363636363</v>
      </c>
      <c r="CM73" s="170">
        <f>+'Info recibida'!CM73/550</f>
        <v>1636.3636363636363</v>
      </c>
      <c r="CN73" s="170">
        <f>+'Info recibida'!CN73/550</f>
        <v>1636.3636363636363</v>
      </c>
      <c r="CO73" s="170">
        <f>+'Info recibida'!CO73/550</f>
        <v>1636.3636363636363</v>
      </c>
      <c r="CP73" s="170">
        <f>+'Info recibida'!CP73/550</f>
        <v>1636.3636363636363</v>
      </c>
      <c r="CQ73" s="213">
        <f>+'Info recibida'!CQ73/550</f>
        <v>14727.272727272728</v>
      </c>
      <c r="CR73" s="70"/>
      <c r="CS73" s="220">
        <v>14000</v>
      </c>
      <c r="CT73" s="71" t="s">
        <v>332</v>
      </c>
      <c r="CU73" s="210"/>
      <c r="CV73" s="210"/>
      <c r="CW73" s="210"/>
      <c r="CX73" s="210"/>
      <c r="CY73" s="221">
        <f>+'Info recibida'!CY73/550</f>
        <v>727.27272727272725</v>
      </c>
      <c r="CZ73" s="222"/>
      <c r="DA73" s="517">
        <f t="shared" si="18"/>
        <v>2.9502520345332031E-3</v>
      </c>
    </row>
    <row r="74" spans="2:105" ht="26.1" customHeight="1" x14ac:dyDescent="0.25">
      <c r="B74" s="143" t="s">
        <v>70</v>
      </c>
      <c r="C74" s="144" t="s">
        <v>357</v>
      </c>
      <c r="D74" s="59" t="s">
        <v>1</v>
      </c>
      <c r="E74" s="145"/>
      <c r="F74" s="60"/>
      <c r="G74" s="61"/>
      <c r="H74" s="62"/>
      <c r="I74" s="62"/>
      <c r="J74" s="147" t="s">
        <v>259</v>
      </c>
      <c r="K74" s="148"/>
      <c r="L74" s="149"/>
      <c r="N74" s="143" t="s">
        <v>70</v>
      </c>
      <c r="O74" s="150"/>
      <c r="P74" s="145"/>
      <c r="Q74" s="145"/>
      <c r="R74" s="145"/>
      <c r="S74" s="145"/>
      <c r="T74" s="145"/>
      <c r="U74" s="145"/>
      <c r="V74" s="145"/>
      <c r="W74" s="145"/>
      <c r="X74" s="145"/>
      <c r="Y74" s="145"/>
      <c r="Z74" s="145"/>
      <c r="AA74" s="145"/>
      <c r="AB74" s="145"/>
      <c r="AC74" s="145"/>
      <c r="AD74" s="145"/>
      <c r="AE74" s="151"/>
      <c r="AF74" s="150"/>
      <c r="AG74" s="145"/>
      <c r="AH74" s="145"/>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254"/>
      <c r="BF74" s="150"/>
      <c r="BG74" s="154" t="s">
        <v>357</v>
      </c>
      <c r="BH74" s="155"/>
      <c r="BI74" s="487">
        <f>+'Info recibida'!BJ74/550</f>
        <v>0</v>
      </c>
      <c r="BJ74" s="152">
        <f>+'Info recibida'!BK74/550</f>
        <v>0</v>
      </c>
      <c r="BK74" s="152">
        <f>+'Info recibida'!BL74/550</f>
        <v>0</v>
      </c>
      <c r="BL74" s="152">
        <f>+'Info recibida'!BM74/550</f>
        <v>0</v>
      </c>
      <c r="BM74" s="152">
        <f>+'Info recibida'!BN74/550</f>
        <v>0</v>
      </c>
      <c r="BN74" s="152">
        <f>+'Info recibida'!BO74/550</f>
        <v>0</v>
      </c>
      <c r="BO74" s="152">
        <f>+'Info recibida'!BP74/550</f>
        <v>0</v>
      </c>
      <c r="BP74" s="152">
        <f>+'Info recibida'!BQ74/550</f>
        <v>0</v>
      </c>
      <c r="BQ74" s="152">
        <f>+'Info recibida'!BR74/550</f>
        <v>0</v>
      </c>
      <c r="BR74" s="152">
        <f>+'Info recibida'!BS74/550</f>
        <v>0</v>
      </c>
      <c r="BS74" s="152">
        <f>+'Info recibida'!BT74/550</f>
        <v>0</v>
      </c>
      <c r="BT74" s="145"/>
      <c r="BU74" s="145"/>
      <c r="BV74" s="145"/>
      <c r="BW74" s="159"/>
      <c r="BX74" s="157">
        <f>+'Info recibida'!BY74/550</f>
        <v>6000</v>
      </c>
      <c r="BY74" s="152">
        <f>+'Info recibida'!BZ74/550</f>
        <v>6000</v>
      </c>
      <c r="BZ74" s="152">
        <f>+'Info recibida'!CA74/550</f>
        <v>6000</v>
      </c>
      <c r="CA74" s="152">
        <f>+'Info recibida'!CB74/550</f>
        <v>0</v>
      </c>
      <c r="CB74" s="152">
        <f>+'Info recibida'!CC74/550</f>
        <v>0</v>
      </c>
      <c r="CC74" s="152">
        <f>+'Info recibida'!CD74/550</f>
        <v>0</v>
      </c>
      <c r="CD74" s="152">
        <f>+'Info recibida'!CE74/550</f>
        <v>0</v>
      </c>
      <c r="CE74" s="152">
        <f>+'Info recibida'!CF74/550</f>
        <v>0</v>
      </c>
      <c r="CF74" s="487">
        <f>+'Info recibida'!CG74/550</f>
        <v>0</v>
      </c>
      <c r="CG74" s="156">
        <f t="shared" si="19"/>
        <v>18000</v>
      </c>
      <c r="CH74" s="157">
        <f>+'Info recibida'!CH74/550</f>
        <v>6000</v>
      </c>
      <c r="CI74" s="152">
        <f>+'Info recibida'!CI74/550</f>
        <v>6000</v>
      </c>
      <c r="CJ74" s="152">
        <f>+'Info recibida'!CJ74/550</f>
        <v>6000</v>
      </c>
      <c r="CK74" s="152">
        <f>+'Info recibida'!CK74/550</f>
        <v>0</v>
      </c>
      <c r="CL74" s="152">
        <f>+'Info recibida'!CL74/550</f>
        <v>0</v>
      </c>
      <c r="CM74" s="152">
        <f>+'Info recibida'!CM74/550</f>
        <v>0</v>
      </c>
      <c r="CN74" s="152">
        <f>+'Info recibida'!CN74/550</f>
        <v>0</v>
      </c>
      <c r="CO74" s="152">
        <f>+'Info recibida'!CO74/550</f>
        <v>0</v>
      </c>
      <c r="CP74" s="152">
        <f>+'Info recibida'!CP74/550</f>
        <v>0</v>
      </c>
      <c r="CQ74" s="156">
        <f>+'Info recibida'!CQ74/550</f>
        <v>18000</v>
      </c>
      <c r="CR74" s="158"/>
      <c r="CS74" s="160">
        <f>SUM(CS75)</f>
        <v>18000</v>
      </c>
      <c r="CT74" s="145"/>
      <c r="CU74" s="145"/>
      <c r="CV74" s="145"/>
      <c r="CW74" s="145"/>
      <c r="CX74" s="145"/>
      <c r="CY74" s="161">
        <f>+'Info recibida'!CY74/550</f>
        <v>0</v>
      </c>
      <c r="CZ74" s="151"/>
      <c r="DA74" s="517"/>
    </row>
    <row r="75" spans="2:105" ht="26.1" customHeight="1" x14ac:dyDescent="0.25">
      <c r="B75" s="312" t="s">
        <v>71</v>
      </c>
      <c r="C75" s="205" t="s">
        <v>357</v>
      </c>
      <c r="D75" s="47" t="s">
        <v>1</v>
      </c>
      <c r="E75" s="255"/>
      <c r="F75" s="77" t="s">
        <v>400</v>
      </c>
      <c r="G75" s="48" t="s">
        <v>125</v>
      </c>
      <c r="H75" s="49" t="s">
        <v>245</v>
      </c>
      <c r="I75" s="49" t="s">
        <v>230</v>
      </c>
      <c r="J75" s="206"/>
      <c r="K75" s="207"/>
      <c r="L75" s="208"/>
      <c r="N75" s="312" t="s">
        <v>71</v>
      </c>
      <c r="O75" s="332"/>
      <c r="P75" s="77" t="s">
        <v>400</v>
      </c>
      <c r="Q75" s="255"/>
      <c r="R75" s="255"/>
      <c r="S75" s="255"/>
      <c r="T75" s="255"/>
      <c r="U75" s="255"/>
      <c r="V75" s="255"/>
      <c r="W75" s="255"/>
      <c r="X75" s="255"/>
      <c r="Y75" s="255"/>
      <c r="Z75" s="255"/>
      <c r="AA75" s="255"/>
      <c r="AB75" s="255"/>
      <c r="AC75" s="255"/>
      <c r="AD75" s="255"/>
      <c r="AE75" s="333"/>
      <c r="AF75" s="332"/>
      <c r="AG75" s="255"/>
      <c r="AH75" s="255"/>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334"/>
      <c r="BF75" s="332"/>
      <c r="BG75" s="68" t="s">
        <v>349</v>
      </c>
      <c r="BH75" s="335" t="s">
        <v>323</v>
      </c>
      <c r="BI75" s="414">
        <f>+'Info recibida'!BJ75/550</f>
        <v>0</v>
      </c>
      <c r="BJ75" s="272">
        <f>+'Info recibida'!BK75/550</f>
        <v>0</v>
      </c>
      <c r="BK75" s="272">
        <f>+'Info recibida'!BL75/550</f>
        <v>0</v>
      </c>
      <c r="BL75" s="272">
        <f>+'Info recibida'!BM75/550</f>
        <v>0</v>
      </c>
      <c r="BM75" s="272">
        <f>+'Info recibida'!BN75/550</f>
        <v>0</v>
      </c>
      <c r="BN75" s="272">
        <f>+'Info recibida'!BO75/550</f>
        <v>0</v>
      </c>
      <c r="BO75" s="272">
        <f>+'Info recibida'!BP75/550</f>
        <v>0</v>
      </c>
      <c r="BP75" s="272">
        <f>+'Info recibida'!BQ75/550</f>
        <v>0</v>
      </c>
      <c r="BQ75" s="272">
        <f>+'Info recibida'!BR75/550</f>
        <v>0</v>
      </c>
      <c r="BR75" s="272">
        <f>+'Info recibida'!BS75/550</f>
        <v>0</v>
      </c>
      <c r="BS75" s="170">
        <f>+'Info recibida'!BT75/550</f>
        <v>0</v>
      </c>
      <c r="BT75" s="255"/>
      <c r="BU75" s="255"/>
      <c r="BV75" s="255"/>
      <c r="BW75" s="336"/>
      <c r="BX75" s="337">
        <f>+'Info recibida'!BY75/550</f>
        <v>6000</v>
      </c>
      <c r="BY75" s="340">
        <f>+'Info recibida'!BZ75/550</f>
        <v>6000</v>
      </c>
      <c r="BZ75" s="340">
        <f>+'Info recibida'!CA75/550</f>
        <v>6000</v>
      </c>
      <c r="CA75" s="272">
        <f>+'Info recibida'!CB75/550</f>
        <v>0</v>
      </c>
      <c r="CB75" s="272">
        <f>+'Info recibida'!CC75/550</f>
        <v>0</v>
      </c>
      <c r="CC75" s="272">
        <f>+'Info recibida'!CD75/550</f>
        <v>0</v>
      </c>
      <c r="CD75" s="272">
        <f>+'Info recibida'!CE75/550</f>
        <v>0</v>
      </c>
      <c r="CE75" s="272">
        <f>+'Info recibida'!CF75/550</f>
        <v>0</v>
      </c>
      <c r="CF75" s="502">
        <f>+'Info recibida'!CG75/550</f>
        <v>0</v>
      </c>
      <c r="CG75" s="213">
        <f t="shared" si="19"/>
        <v>18000</v>
      </c>
      <c r="CH75" s="217">
        <f>+'Info recibida'!CH75/550</f>
        <v>6000</v>
      </c>
      <c r="CI75" s="170">
        <f>+'Info recibida'!CI75/550</f>
        <v>6000</v>
      </c>
      <c r="CJ75" s="170">
        <f>+'Info recibida'!CJ75/550</f>
        <v>6000</v>
      </c>
      <c r="CK75" s="170">
        <f>+'Info recibida'!CK75/550</f>
        <v>0</v>
      </c>
      <c r="CL75" s="170">
        <f>+'Info recibida'!CL75/550</f>
        <v>0</v>
      </c>
      <c r="CM75" s="170">
        <f>+'Info recibida'!CM75/550</f>
        <v>0</v>
      </c>
      <c r="CN75" s="170">
        <f>+'Info recibida'!CN75/550</f>
        <v>0</v>
      </c>
      <c r="CO75" s="170">
        <f>+'Info recibida'!CO75/550</f>
        <v>0</v>
      </c>
      <c r="CP75" s="170">
        <f>+'Info recibida'!CP75/550</f>
        <v>0</v>
      </c>
      <c r="CQ75" s="213">
        <f>+'Info recibida'!CQ75/550</f>
        <v>18000</v>
      </c>
      <c r="CR75" s="338"/>
      <c r="CS75" s="220">
        <f>24000*3*1/4</f>
        <v>18000</v>
      </c>
      <c r="CT75" s="255" t="s">
        <v>351</v>
      </c>
      <c r="CU75" s="255"/>
      <c r="CV75" s="255"/>
      <c r="CW75" s="255"/>
      <c r="CX75" s="255"/>
      <c r="CY75" s="221">
        <f>+'Info recibida'!CY75/550</f>
        <v>0</v>
      </c>
      <c r="CZ75" s="333"/>
      <c r="DA75" s="517">
        <f t="shared" si="18"/>
        <v>3.6058635977628036E-3</v>
      </c>
    </row>
    <row r="76" spans="2:105" ht="26.1" customHeight="1" x14ac:dyDescent="0.25">
      <c r="B76" s="143" t="s">
        <v>72</v>
      </c>
      <c r="C76" s="144" t="s">
        <v>356</v>
      </c>
      <c r="D76" s="59" t="s">
        <v>2</v>
      </c>
      <c r="E76" s="145"/>
      <c r="F76" s="60"/>
      <c r="G76" s="61"/>
      <c r="H76" s="62"/>
      <c r="I76" s="62"/>
      <c r="J76" s="147" t="s">
        <v>259</v>
      </c>
      <c r="K76" s="148"/>
      <c r="L76" s="149"/>
      <c r="N76" s="143" t="s">
        <v>72</v>
      </c>
      <c r="O76" s="150"/>
      <c r="P76" s="145"/>
      <c r="Q76" s="145"/>
      <c r="R76" s="145"/>
      <c r="S76" s="145"/>
      <c r="T76" s="145"/>
      <c r="U76" s="145"/>
      <c r="V76" s="145"/>
      <c r="W76" s="145"/>
      <c r="X76" s="145"/>
      <c r="Y76" s="145"/>
      <c r="Z76" s="145"/>
      <c r="AA76" s="145"/>
      <c r="AB76" s="145"/>
      <c r="AC76" s="145"/>
      <c r="AD76" s="145"/>
      <c r="AE76" s="151"/>
      <c r="AF76" s="150"/>
      <c r="AG76" s="145"/>
      <c r="AH76" s="145"/>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254"/>
      <c r="BF76" s="150"/>
      <c r="BG76" s="154" t="s">
        <v>356</v>
      </c>
      <c r="BH76" s="155"/>
      <c r="BI76" s="487">
        <f>+'Info recibida'!BJ76/550</f>
        <v>0</v>
      </c>
      <c r="BJ76" s="152">
        <f>+'Info recibida'!BK76/550</f>
        <v>0</v>
      </c>
      <c r="BK76" s="152">
        <f>+'Info recibida'!BL76/550</f>
        <v>0</v>
      </c>
      <c r="BL76" s="152">
        <f>+'Info recibida'!BM76/550</f>
        <v>0</v>
      </c>
      <c r="BM76" s="152">
        <f>+'Info recibida'!BN76/550</f>
        <v>0</v>
      </c>
      <c r="BN76" s="152">
        <f>+'Info recibida'!BO76/550</f>
        <v>0</v>
      </c>
      <c r="BO76" s="152">
        <f>+'Info recibida'!BP76/550</f>
        <v>0</v>
      </c>
      <c r="BP76" s="152">
        <f>+'Info recibida'!BQ76/550</f>
        <v>0</v>
      </c>
      <c r="BQ76" s="152">
        <f>+'Info recibida'!BR76/550</f>
        <v>0</v>
      </c>
      <c r="BR76" s="152">
        <f>+'Info recibida'!BS76/550</f>
        <v>0</v>
      </c>
      <c r="BS76" s="152">
        <f>+'Info recibida'!BT76/550</f>
        <v>0</v>
      </c>
      <c r="BT76" s="145"/>
      <c r="BU76" s="145"/>
      <c r="BV76" s="145"/>
      <c r="BW76" s="159"/>
      <c r="BX76" s="157">
        <f>+'Info recibida'!BY76/550</f>
        <v>1000</v>
      </c>
      <c r="BY76" s="152">
        <f>+'Info recibida'!BZ76/550</f>
        <v>1000</v>
      </c>
      <c r="BZ76" s="152">
        <f>+'Info recibida'!CA76/550</f>
        <v>1000</v>
      </c>
      <c r="CA76" s="152">
        <f>+'Info recibida'!CB76/550</f>
        <v>1000</v>
      </c>
      <c r="CB76" s="152">
        <f>+'Info recibida'!CC76/550</f>
        <v>1000</v>
      </c>
      <c r="CC76" s="152">
        <f>+'Info recibida'!CD76/550</f>
        <v>1000</v>
      </c>
      <c r="CD76" s="152">
        <f>+'Info recibida'!CE76/550</f>
        <v>1000</v>
      </c>
      <c r="CE76" s="152">
        <f>+'Info recibida'!CF76/550</f>
        <v>1000</v>
      </c>
      <c r="CF76" s="487">
        <f>+'Info recibida'!CG76/550</f>
        <v>1000</v>
      </c>
      <c r="CG76" s="156">
        <f t="shared" si="19"/>
        <v>9000</v>
      </c>
      <c r="CH76" s="157">
        <f>+'Info recibida'!CH76/550</f>
        <v>1000</v>
      </c>
      <c r="CI76" s="152">
        <f>+'Info recibida'!CI76/550</f>
        <v>1000</v>
      </c>
      <c r="CJ76" s="152">
        <f>+'Info recibida'!CJ76/550</f>
        <v>1000</v>
      </c>
      <c r="CK76" s="152">
        <f>+'Info recibida'!CK76/550</f>
        <v>1000</v>
      </c>
      <c r="CL76" s="152">
        <f>+'Info recibida'!CL76/550</f>
        <v>1000</v>
      </c>
      <c r="CM76" s="152">
        <f>+'Info recibida'!CM76/550</f>
        <v>1000</v>
      </c>
      <c r="CN76" s="152">
        <f>+'Info recibida'!CN76/550</f>
        <v>1000</v>
      </c>
      <c r="CO76" s="152">
        <f>+'Info recibida'!CO76/550</f>
        <v>1000</v>
      </c>
      <c r="CP76" s="152">
        <f>+'Info recibida'!CP76/550</f>
        <v>1000</v>
      </c>
      <c r="CQ76" s="156">
        <f>+'Info recibida'!CQ76/550</f>
        <v>9000</v>
      </c>
      <c r="CR76" s="158"/>
      <c r="CS76" s="160">
        <f>SUM(CS77)</f>
        <v>0</v>
      </c>
      <c r="CT76" s="145"/>
      <c r="CU76" s="145"/>
      <c r="CV76" s="145"/>
      <c r="CW76" s="145"/>
      <c r="CX76" s="145"/>
      <c r="CY76" s="161">
        <f>+'Info recibida'!CY76/550</f>
        <v>9000</v>
      </c>
      <c r="CZ76" s="151"/>
      <c r="DA76" s="517"/>
    </row>
    <row r="77" spans="2:105" ht="26.1" customHeight="1" x14ac:dyDescent="0.25">
      <c r="B77" s="204" t="s">
        <v>73</v>
      </c>
      <c r="C77" s="205" t="s">
        <v>356</v>
      </c>
      <c r="D77" s="47" t="s">
        <v>2</v>
      </c>
      <c r="E77" s="48" t="s">
        <v>403</v>
      </c>
      <c r="F77" s="48" t="s">
        <v>393</v>
      </c>
      <c r="G77" s="48" t="s">
        <v>126</v>
      </c>
      <c r="H77" s="49"/>
      <c r="I77" s="49" t="s">
        <v>230</v>
      </c>
      <c r="J77" s="206"/>
      <c r="K77" s="207"/>
      <c r="L77" s="208"/>
      <c r="N77" s="204" t="s">
        <v>73</v>
      </c>
      <c r="O77" s="47" t="s">
        <v>3</v>
      </c>
      <c r="P77" s="48" t="s">
        <v>403</v>
      </c>
      <c r="Q77" s="48" t="s">
        <v>314</v>
      </c>
      <c r="R77" s="48" t="s">
        <v>314</v>
      </c>
      <c r="S77" s="48"/>
      <c r="T77" s="48" t="s">
        <v>307</v>
      </c>
      <c r="U77" s="48"/>
      <c r="V77" s="48"/>
      <c r="W77" s="48" t="s">
        <v>314</v>
      </c>
      <c r="X77" s="48"/>
      <c r="Y77" s="48"/>
      <c r="Z77" s="48"/>
      <c r="AA77" s="48"/>
      <c r="AB77" s="48"/>
      <c r="AC77" s="48"/>
      <c r="AD77" s="48" t="s">
        <v>314</v>
      </c>
      <c r="AE77" s="209"/>
      <c r="AF77" s="47" t="s">
        <v>315</v>
      </c>
      <c r="AG77" s="210" t="s">
        <v>319</v>
      </c>
      <c r="AH77" s="68" t="s">
        <v>341</v>
      </c>
      <c r="AI77" s="170"/>
      <c r="AJ77" s="170">
        <v>0</v>
      </c>
      <c r="AK77" s="170">
        <v>0</v>
      </c>
      <c r="AL77" s="170">
        <v>0</v>
      </c>
      <c r="AM77" s="170">
        <v>0</v>
      </c>
      <c r="AN77" s="170">
        <v>0</v>
      </c>
      <c r="AO77" s="170">
        <v>0</v>
      </c>
      <c r="AP77" s="170">
        <v>0</v>
      </c>
      <c r="AQ77" s="170">
        <v>0</v>
      </c>
      <c r="AR77" s="170">
        <v>0</v>
      </c>
      <c r="AS77" s="170"/>
      <c r="AT77" s="170"/>
      <c r="AU77" s="170">
        <v>6</v>
      </c>
      <c r="AV77" s="170">
        <v>6</v>
      </c>
      <c r="AW77" s="170">
        <v>6</v>
      </c>
      <c r="AX77" s="170">
        <v>6</v>
      </c>
      <c r="AY77" s="170">
        <v>6</v>
      </c>
      <c r="AZ77" s="170">
        <v>6</v>
      </c>
      <c r="BA77" s="170">
        <v>6</v>
      </c>
      <c r="BB77" s="170">
        <v>6</v>
      </c>
      <c r="BC77" s="170">
        <v>6</v>
      </c>
      <c r="BD77" s="170"/>
      <c r="BE77" s="260"/>
      <c r="BF77" s="206"/>
      <c r="BG77" s="68" t="s">
        <v>321</v>
      </c>
      <c r="BH77" s="48" t="s">
        <v>313</v>
      </c>
      <c r="BI77" s="211">
        <f>+'Info recibida'!BJ77/550</f>
        <v>0</v>
      </c>
      <c r="BJ77" s="170">
        <f>+'Info recibida'!BK77/550</f>
        <v>0</v>
      </c>
      <c r="BK77" s="170">
        <f>+'Info recibida'!BL77/550</f>
        <v>0</v>
      </c>
      <c r="BL77" s="170">
        <f>+'Info recibida'!BM77/550</f>
        <v>0</v>
      </c>
      <c r="BM77" s="170">
        <f>+'Info recibida'!BN77/550</f>
        <v>0</v>
      </c>
      <c r="BN77" s="170">
        <f>+'Info recibida'!BO77/550</f>
        <v>0</v>
      </c>
      <c r="BO77" s="170">
        <f>+'Info recibida'!BP77/550</f>
        <v>0</v>
      </c>
      <c r="BP77" s="170">
        <f>+'Info recibida'!BQ77/550</f>
        <v>0</v>
      </c>
      <c r="BQ77" s="170">
        <f>+'Info recibida'!BR77/550</f>
        <v>0</v>
      </c>
      <c r="BR77" s="170">
        <f>+'Info recibida'!BS77/550</f>
        <v>0</v>
      </c>
      <c r="BS77" s="170">
        <f>+'Info recibida'!BT77/550</f>
        <v>0</v>
      </c>
      <c r="BT77" s="48"/>
      <c r="BU77" s="48"/>
      <c r="BV77" s="48"/>
      <c r="BW77" s="243"/>
      <c r="BX77" s="212">
        <f>+'Info recibida'!BY77/550</f>
        <v>1000</v>
      </c>
      <c r="BY77" s="170">
        <f>+'Info recibida'!BZ77/550</f>
        <v>1000</v>
      </c>
      <c r="BZ77" s="170">
        <f>+'Info recibida'!CA77/550</f>
        <v>1000</v>
      </c>
      <c r="CA77" s="170">
        <f>+'Info recibida'!CB77/550</f>
        <v>1000</v>
      </c>
      <c r="CB77" s="170">
        <f>+'Info recibida'!CC77/550</f>
        <v>1000</v>
      </c>
      <c r="CC77" s="170">
        <f>+'Info recibida'!CD77/550</f>
        <v>1000</v>
      </c>
      <c r="CD77" s="170">
        <f>+'Info recibida'!CE77/550</f>
        <v>1000</v>
      </c>
      <c r="CE77" s="170">
        <f>+'Info recibida'!CF77/550</f>
        <v>1000</v>
      </c>
      <c r="CF77" s="218">
        <f>+'Info recibida'!CG77/550</f>
        <v>1000</v>
      </c>
      <c r="CG77" s="213">
        <f t="shared" si="19"/>
        <v>9000</v>
      </c>
      <c r="CH77" s="217">
        <f>+'Info recibida'!CH77/550</f>
        <v>1000</v>
      </c>
      <c r="CI77" s="170">
        <f>+'Info recibida'!CI77/550</f>
        <v>1000</v>
      </c>
      <c r="CJ77" s="170">
        <f>+'Info recibida'!CJ77/550</f>
        <v>1000</v>
      </c>
      <c r="CK77" s="170">
        <f>+'Info recibida'!CK77/550</f>
        <v>1000</v>
      </c>
      <c r="CL77" s="170">
        <f>+'Info recibida'!CL77/550</f>
        <v>1000</v>
      </c>
      <c r="CM77" s="170">
        <f>+'Info recibida'!CM77/550</f>
        <v>1000</v>
      </c>
      <c r="CN77" s="170">
        <f>+'Info recibida'!CN77/550</f>
        <v>1000</v>
      </c>
      <c r="CO77" s="170">
        <f>+'Info recibida'!CO77/550</f>
        <v>1000</v>
      </c>
      <c r="CP77" s="170">
        <f>+'Info recibida'!CP77/550</f>
        <v>1000</v>
      </c>
      <c r="CQ77" s="213">
        <f>+'Info recibida'!CQ77/550</f>
        <v>9000</v>
      </c>
      <c r="CR77" s="70"/>
      <c r="CS77" s="71"/>
      <c r="CT77" s="71"/>
      <c r="CU77" s="210"/>
      <c r="CV77" s="210"/>
      <c r="CW77" s="210"/>
      <c r="CX77" s="210"/>
      <c r="CY77" s="221">
        <f>+'Info recibida'!CY77/550</f>
        <v>9000</v>
      </c>
      <c r="CZ77" s="222"/>
      <c r="DA77" s="517">
        <f t="shared" si="18"/>
        <v>1.8029317988814018E-3</v>
      </c>
    </row>
    <row r="78" spans="2:105" ht="26.1" customHeight="1" x14ac:dyDescent="0.25">
      <c r="B78" s="143" t="s">
        <v>74</v>
      </c>
      <c r="C78" s="144" t="s">
        <v>356</v>
      </c>
      <c r="D78" s="59" t="s">
        <v>491</v>
      </c>
      <c r="E78" s="145"/>
      <c r="F78" s="60"/>
      <c r="G78" s="61"/>
      <c r="H78" s="62"/>
      <c r="I78" s="62"/>
      <c r="J78" s="147" t="s">
        <v>259</v>
      </c>
      <c r="K78" s="148"/>
      <c r="L78" s="149"/>
      <c r="N78" s="143" t="s">
        <v>74</v>
      </c>
      <c r="O78" s="150"/>
      <c r="P78" s="145"/>
      <c r="Q78" s="145"/>
      <c r="R78" s="145"/>
      <c r="S78" s="145"/>
      <c r="T78" s="145"/>
      <c r="U78" s="145"/>
      <c r="V78" s="145"/>
      <c r="W78" s="145"/>
      <c r="X78" s="145"/>
      <c r="Y78" s="145"/>
      <c r="Z78" s="145"/>
      <c r="AA78" s="145"/>
      <c r="AB78" s="145"/>
      <c r="AC78" s="145"/>
      <c r="AD78" s="145"/>
      <c r="AE78" s="151"/>
      <c r="AF78" s="150"/>
      <c r="AG78" s="145"/>
      <c r="AH78" s="145"/>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254"/>
      <c r="BF78" s="150"/>
      <c r="BG78" s="154" t="s">
        <v>356</v>
      </c>
      <c r="BH78" s="155"/>
      <c r="BI78" s="487">
        <f>+'Info recibida'!BJ78/550</f>
        <v>7636.363636363636</v>
      </c>
      <c r="BJ78" s="152">
        <f>+'Info recibida'!BK78/550</f>
        <v>236636.36363636365</v>
      </c>
      <c r="BK78" s="152">
        <f>+'Info recibida'!BL78/550</f>
        <v>239909.09090909091</v>
      </c>
      <c r="BL78" s="152">
        <f>+'Info recibida'!BM78/550</f>
        <v>183303.03030303033</v>
      </c>
      <c r="BM78" s="152">
        <f>+'Info recibida'!BN78/550</f>
        <v>129969.6969696969</v>
      </c>
      <c r="BN78" s="152">
        <f>+'Info recibida'!BO78/550</f>
        <v>75000</v>
      </c>
      <c r="BO78" s="152">
        <f>+'Info recibida'!BP78/550</f>
        <v>76636.363636363632</v>
      </c>
      <c r="BP78" s="152">
        <f>+'Info recibida'!BQ78/550</f>
        <v>75000</v>
      </c>
      <c r="BQ78" s="152">
        <f>+'Info recibida'!BR78/550</f>
        <v>76636.363636363632</v>
      </c>
      <c r="BR78" s="152">
        <f>+'Info recibida'!BS78/550</f>
        <v>75000</v>
      </c>
      <c r="BS78" s="152">
        <f>+'Info recibida'!BT78/550</f>
        <v>1168090.9090909092</v>
      </c>
      <c r="BT78" s="145"/>
      <c r="BU78" s="145"/>
      <c r="BV78" s="145"/>
      <c r="BW78" s="159"/>
      <c r="BX78" s="157">
        <f>+'Info recibida'!BY78/550</f>
        <v>746781.81818181823</v>
      </c>
      <c r="BY78" s="152">
        <f>+'Info recibida'!BZ78/550</f>
        <v>969727.27272727271</v>
      </c>
      <c r="BZ78" s="152">
        <f>+'Info recibida'!CA78/550</f>
        <v>461066.66666666669</v>
      </c>
      <c r="CA78" s="152">
        <f>+'Info recibida'!CB78/550</f>
        <v>213060.60606060599</v>
      </c>
      <c r="CB78" s="152">
        <f>+'Info recibida'!CC78/550</f>
        <v>75000</v>
      </c>
      <c r="CC78" s="152">
        <f>+'Info recibida'!CD78/550</f>
        <v>95727.272727272721</v>
      </c>
      <c r="CD78" s="152">
        <f>+'Info recibida'!CE78/550</f>
        <v>95727.272727272721</v>
      </c>
      <c r="CE78" s="152">
        <f>+'Info recibida'!CF78/550</f>
        <v>95727.272727272721</v>
      </c>
      <c r="CF78" s="487">
        <f>+'Info recibida'!CG78/550</f>
        <v>95727.272727272721</v>
      </c>
      <c r="CG78" s="156">
        <f t="shared" si="19"/>
        <v>2848545.4545454551</v>
      </c>
      <c r="CH78" s="157">
        <f>+'Info recibida'!CH78/550</f>
        <v>510145.45454545453</v>
      </c>
      <c r="CI78" s="152">
        <f>+'Info recibida'!CI78/550</f>
        <v>729818.18181818177</v>
      </c>
      <c r="CJ78" s="152">
        <f>+'Info recibida'!CJ78/550</f>
        <v>277763.63636363635</v>
      </c>
      <c r="CK78" s="152">
        <f>+'Info recibida'!CK78/550</f>
        <v>83090.909090909088</v>
      </c>
      <c r="CL78" s="152">
        <f>+'Info recibida'!CL78/550</f>
        <v>0</v>
      </c>
      <c r="CM78" s="152">
        <f>+'Info recibida'!CM78/550</f>
        <v>19090.909090909092</v>
      </c>
      <c r="CN78" s="152">
        <f>+'Info recibida'!CN78/550</f>
        <v>20727.272727272728</v>
      </c>
      <c r="CO78" s="152">
        <f>+'Info recibida'!CO78/550</f>
        <v>19090.909090909092</v>
      </c>
      <c r="CP78" s="152">
        <f>+'Info recibida'!CP78/550</f>
        <v>20727.272727272728</v>
      </c>
      <c r="CQ78" s="156">
        <f>+'Info recibida'!CQ78/550</f>
        <v>1680454.5454545454</v>
      </c>
      <c r="CR78" s="158"/>
      <c r="CS78" s="160">
        <f>SUM(CS79:CS81)</f>
        <v>1340000</v>
      </c>
      <c r="CT78" s="145"/>
      <c r="CU78" s="145"/>
      <c r="CV78" s="145"/>
      <c r="CW78" s="145"/>
      <c r="CX78" s="145"/>
      <c r="CY78" s="161">
        <f>+'Info recibida'!CY78/550</f>
        <v>340454.54545454547</v>
      </c>
      <c r="CZ78" s="151"/>
      <c r="DA78" s="517"/>
    </row>
    <row r="79" spans="2:105" ht="26.1" customHeight="1" x14ac:dyDescent="0.25">
      <c r="B79" s="204" t="s">
        <v>75</v>
      </c>
      <c r="C79" s="205" t="s">
        <v>356</v>
      </c>
      <c r="D79" s="47" t="s">
        <v>6</v>
      </c>
      <c r="E79" s="335" t="s">
        <v>431</v>
      </c>
      <c r="F79" s="48" t="s">
        <v>76</v>
      </c>
      <c r="G79" s="50" t="s">
        <v>127</v>
      </c>
      <c r="H79" s="49"/>
      <c r="I79" s="49" t="s">
        <v>229</v>
      </c>
      <c r="J79" s="206"/>
      <c r="K79" s="207"/>
      <c r="L79" s="208"/>
      <c r="N79" s="204" t="s">
        <v>75</v>
      </c>
      <c r="O79" s="47" t="s">
        <v>6</v>
      </c>
      <c r="P79" s="48" t="s">
        <v>76</v>
      </c>
      <c r="Q79" s="50"/>
      <c r="R79" s="50" t="s">
        <v>314</v>
      </c>
      <c r="S79" s="50"/>
      <c r="T79" s="50" t="s">
        <v>314</v>
      </c>
      <c r="U79" s="50"/>
      <c r="V79" s="50"/>
      <c r="W79" s="50" t="s">
        <v>314</v>
      </c>
      <c r="X79" s="50"/>
      <c r="Y79" s="50"/>
      <c r="Z79" s="50"/>
      <c r="AA79" s="50"/>
      <c r="AB79" s="50"/>
      <c r="AC79" s="50"/>
      <c r="AD79" s="50" t="s">
        <v>307</v>
      </c>
      <c r="AE79" s="259" t="s">
        <v>314</v>
      </c>
      <c r="AF79" s="47" t="s">
        <v>315</v>
      </c>
      <c r="AG79" s="210" t="s">
        <v>319</v>
      </c>
      <c r="AH79" s="97" t="s">
        <v>422</v>
      </c>
      <c r="AI79" s="170"/>
      <c r="AJ79" s="170">
        <v>0</v>
      </c>
      <c r="AK79" s="170">
        <v>0</v>
      </c>
      <c r="AL79" s="170">
        <v>0</v>
      </c>
      <c r="AM79" s="170">
        <v>0.5</v>
      </c>
      <c r="AN79" s="170">
        <v>0</v>
      </c>
      <c r="AO79" s="170">
        <v>0</v>
      </c>
      <c r="AP79" s="170">
        <v>0</v>
      </c>
      <c r="AQ79" s="170">
        <v>0</v>
      </c>
      <c r="AR79" s="170">
        <v>0</v>
      </c>
      <c r="AS79" s="170"/>
      <c r="AT79" s="170"/>
      <c r="AU79" s="170">
        <v>0</v>
      </c>
      <c r="AV79" s="170">
        <v>0</v>
      </c>
      <c r="AW79" s="170">
        <v>0</v>
      </c>
      <c r="AX79" s="170">
        <v>1</v>
      </c>
      <c r="AY79" s="170">
        <v>0</v>
      </c>
      <c r="AZ79" s="170">
        <v>0</v>
      </c>
      <c r="BA79" s="170">
        <v>0</v>
      </c>
      <c r="BB79" s="170">
        <v>0</v>
      </c>
      <c r="BC79" s="170">
        <v>0</v>
      </c>
      <c r="BD79" s="170"/>
      <c r="BE79" s="170"/>
      <c r="BF79" s="206" t="s">
        <v>330</v>
      </c>
      <c r="BG79" s="257" t="s">
        <v>423</v>
      </c>
      <c r="BH79" s="48" t="s">
        <v>323</v>
      </c>
      <c r="BI79" s="211">
        <f>+'Info recibida'!BJ79/550</f>
        <v>0</v>
      </c>
      <c r="BJ79" s="170">
        <f>+'Info recibida'!BK79/550</f>
        <v>235000</v>
      </c>
      <c r="BK79" s="170">
        <f>+'Info recibida'!BL79/550</f>
        <v>235000</v>
      </c>
      <c r="BL79" s="170">
        <f>+'Info recibida'!BM79/550</f>
        <v>181666.66666666672</v>
      </c>
      <c r="BM79" s="170">
        <f>+'Info recibida'!BN79/550</f>
        <v>128333.33333333327</v>
      </c>
      <c r="BN79" s="170">
        <f>+'Info recibida'!BO79/550</f>
        <v>75000</v>
      </c>
      <c r="BO79" s="170">
        <f>+'Info recibida'!BP79/550</f>
        <v>75000</v>
      </c>
      <c r="BP79" s="170">
        <f>+'Info recibida'!BQ79/550</f>
        <v>75000</v>
      </c>
      <c r="BQ79" s="170">
        <f>+'Info recibida'!BR79/550</f>
        <v>75000</v>
      </c>
      <c r="BR79" s="170">
        <f>+'Info recibida'!BS79/550</f>
        <v>75000</v>
      </c>
      <c r="BS79" s="170">
        <f>+'Info recibida'!BT79/550</f>
        <v>1155000</v>
      </c>
      <c r="BT79" s="341">
        <f>75000/555000</f>
        <v>0.13513513513513514</v>
      </c>
      <c r="BU79" s="48" t="s">
        <v>424</v>
      </c>
      <c r="BV79" s="341">
        <f>480000/555000</f>
        <v>0.86486486486486491</v>
      </c>
      <c r="BW79" s="243" t="s">
        <v>425</v>
      </c>
      <c r="BX79" s="212">
        <f>+'Info recibida'!BY79/550</f>
        <v>565600</v>
      </c>
      <c r="BY79" s="170">
        <f>+'Info recibida'!BZ79/550</f>
        <v>786000</v>
      </c>
      <c r="BZ79" s="170">
        <f>+'Info recibida'!CA79/550</f>
        <v>402066.66666666669</v>
      </c>
      <c r="CA79" s="170">
        <f>+'Info recibida'!CB79/550</f>
        <v>128333.33333333327</v>
      </c>
      <c r="CB79" s="170">
        <f>+'Info recibida'!CC79/550</f>
        <v>75000</v>
      </c>
      <c r="CC79" s="170">
        <f>+'Info recibida'!CD79/550</f>
        <v>75000</v>
      </c>
      <c r="CD79" s="170">
        <f>+'Info recibida'!CE79/550</f>
        <v>75000</v>
      </c>
      <c r="CE79" s="170">
        <f>+'Info recibida'!CF79/550</f>
        <v>75000</v>
      </c>
      <c r="CF79" s="218">
        <f>+'Info recibida'!CG79/550</f>
        <v>75000</v>
      </c>
      <c r="CG79" s="213">
        <f t="shared" si="19"/>
        <v>2257000</v>
      </c>
      <c r="CH79" s="217">
        <f>+'Info recibida'!CH79/550</f>
        <v>330600</v>
      </c>
      <c r="CI79" s="170">
        <f>+'Info recibida'!CI79/550</f>
        <v>551000</v>
      </c>
      <c r="CJ79" s="170">
        <f>+'Info recibida'!CJ79/550</f>
        <v>220400</v>
      </c>
      <c r="CK79" s="170">
        <f>+'Info recibida'!CK79/550</f>
        <v>0</v>
      </c>
      <c r="CL79" s="170">
        <f>+'Info recibida'!CL79/550</f>
        <v>0</v>
      </c>
      <c r="CM79" s="170">
        <f>+'Info recibida'!CM79/550</f>
        <v>0</v>
      </c>
      <c r="CN79" s="170">
        <f>+'Info recibida'!CN79/550</f>
        <v>0</v>
      </c>
      <c r="CO79" s="170">
        <f>+'Info recibida'!CO79/550</f>
        <v>0</v>
      </c>
      <c r="CP79" s="170">
        <f>+'Info recibida'!CP79/550</f>
        <v>0</v>
      </c>
      <c r="CQ79" s="213">
        <f>+'Info recibida'!CQ79/550</f>
        <v>1102000</v>
      </c>
      <c r="CR79" s="70"/>
      <c r="CS79" s="220">
        <f>135000+967000</f>
        <v>1102000</v>
      </c>
      <c r="CT79" s="220" t="s">
        <v>426</v>
      </c>
      <c r="CU79" s="210"/>
      <c r="CV79" s="210"/>
      <c r="CW79" s="210"/>
      <c r="CX79" s="210"/>
      <c r="CY79" s="221">
        <f>+'Info recibida'!CY79/550</f>
        <v>0</v>
      </c>
      <c r="CZ79" s="222"/>
      <c r="DA79" s="517">
        <f t="shared" si="18"/>
        <v>0.22075898248525608</v>
      </c>
    </row>
    <row r="80" spans="2:105" ht="26.1" customHeight="1" x14ac:dyDescent="0.25">
      <c r="B80" s="204"/>
      <c r="C80" s="205"/>
      <c r="D80" s="47" t="s">
        <v>289</v>
      </c>
      <c r="E80" s="335" t="s">
        <v>432</v>
      </c>
      <c r="F80" s="48" t="s">
        <v>427</v>
      </c>
      <c r="G80" s="50"/>
      <c r="H80" s="49"/>
      <c r="I80" s="49"/>
      <c r="J80" s="206"/>
      <c r="K80" s="207"/>
      <c r="L80" s="208"/>
      <c r="N80" s="204" t="s">
        <v>433</v>
      </c>
      <c r="O80" s="47" t="s">
        <v>289</v>
      </c>
      <c r="P80" s="48" t="s">
        <v>427</v>
      </c>
      <c r="Q80" s="50"/>
      <c r="R80" s="50" t="s">
        <v>314</v>
      </c>
      <c r="S80" s="50"/>
      <c r="T80" s="50" t="s">
        <v>314</v>
      </c>
      <c r="U80" s="50"/>
      <c r="V80" s="50"/>
      <c r="W80" s="50" t="s">
        <v>314</v>
      </c>
      <c r="X80" s="50"/>
      <c r="Y80" s="50"/>
      <c r="Z80" s="50"/>
      <c r="AA80" s="50"/>
      <c r="AB80" s="50"/>
      <c r="AC80" s="50"/>
      <c r="AD80" s="50" t="s">
        <v>307</v>
      </c>
      <c r="AE80" s="259" t="s">
        <v>314</v>
      </c>
      <c r="AF80" s="47" t="s">
        <v>315</v>
      </c>
      <c r="AG80" s="210" t="s">
        <v>319</v>
      </c>
      <c r="AH80" s="97" t="s">
        <v>428</v>
      </c>
      <c r="AI80" s="170"/>
      <c r="AJ80" s="170">
        <v>0</v>
      </c>
      <c r="AK80" s="170">
        <v>0</v>
      </c>
      <c r="AL80" s="170">
        <v>0</v>
      </c>
      <c r="AM80" s="170">
        <v>0</v>
      </c>
      <c r="AN80" s="170">
        <v>0</v>
      </c>
      <c r="AO80" s="170">
        <v>0</v>
      </c>
      <c r="AP80" s="170">
        <v>0</v>
      </c>
      <c r="AQ80" s="170">
        <v>0</v>
      </c>
      <c r="AR80" s="170">
        <v>0</v>
      </c>
      <c r="AS80" s="170"/>
      <c r="AT80" s="170"/>
      <c r="AU80" s="170">
        <v>0</v>
      </c>
      <c r="AV80" s="170">
        <v>1</v>
      </c>
      <c r="AW80" s="170">
        <v>0</v>
      </c>
      <c r="AX80" s="170">
        <v>0</v>
      </c>
      <c r="AY80" s="170">
        <v>0</v>
      </c>
      <c r="AZ80" s="170">
        <v>0</v>
      </c>
      <c r="BA80" s="170">
        <v>0</v>
      </c>
      <c r="BB80" s="170">
        <v>0</v>
      </c>
      <c r="BC80" s="170">
        <v>0</v>
      </c>
      <c r="BD80" s="170"/>
      <c r="BE80" s="170"/>
      <c r="BF80" s="206" t="s">
        <v>330</v>
      </c>
      <c r="BG80" s="257" t="s">
        <v>423</v>
      </c>
      <c r="BH80" s="48" t="s">
        <v>323</v>
      </c>
      <c r="BI80" s="211">
        <f>+'Info recibida'!BJ80/550</f>
        <v>0</v>
      </c>
      <c r="BJ80" s="170">
        <f>+'Info recibida'!BK80/550</f>
        <v>0</v>
      </c>
      <c r="BK80" s="170">
        <f>+'Info recibida'!BL80/550</f>
        <v>0</v>
      </c>
      <c r="BL80" s="170">
        <f>+'Info recibida'!BM80/550</f>
        <v>0</v>
      </c>
      <c r="BM80" s="170">
        <f>+'Info recibida'!BN80/550</f>
        <v>0</v>
      </c>
      <c r="BN80" s="170">
        <f>+'Info recibida'!BO80/550</f>
        <v>0</v>
      </c>
      <c r="BO80" s="170">
        <f>+'Info recibida'!BP80/550</f>
        <v>0</v>
      </c>
      <c r="BP80" s="170">
        <f>+'Info recibida'!BQ80/550</f>
        <v>0</v>
      </c>
      <c r="BQ80" s="170">
        <f>+'Info recibida'!BR80/550</f>
        <v>0</v>
      </c>
      <c r="BR80" s="170">
        <f>+'Info recibida'!BS80/550</f>
        <v>0</v>
      </c>
      <c r="BS80" s="170">
        <f>+'Info recibida'!BT80/550</f>
        <v>0</v>
      </c>
      <c r="BT80" s="341">
        <f>75000/555000</f>
        <v>0.13513513513513514</v>
      </c>
      <c r="BU80" s="48" t="s">
        <v>424</v>
      </c>
      <c r="BV80" s="341">
        <f>480000/555000</f>
        <v>0.86486486486486491</v>
      </c>
      <c r="BW80" s="243" t="s">
        <v>425</v>
      </c>
      <c r="BX80" s="212">
        <f>+'Info recibida'!BY80/550</f>
        <v>119000</v>
      </c>
      <c r="BY80" s="170">
        <f>+'Info recibida'!BZ80/550</f>
        <v>119000</v>
      </c>
      <c r="BZ80" s="170">
        <f>+'Info recibida'!CA80/550</f>
        <v>0</v>
      </c>
      <c r="CA80" s="170">
        <f>+'Info recibida'!CB80/550</f>
        <v>0</v>
      </c>
      <c r="CB80" s="170">
        <f>+'Info recibida'!CC80/550</f>
        <v>0</v>
      </c>
      <c r="CC80" s="170">
        <f>+'Info recibida'!CD80/550</f>
        <v>0</v>
      </c>
      <c r="CD80" s="170">
        <f>+'Info recibida'!CE80/550</f>
        <v>0</v>
      </c>
      <c r="CE80" s="170">
        <f>+'Info recibida'!CF80/550</f>
        <v>0</v>
      </c>
      <c r="CF80" s="218">
        <f>+'Info recibida'!CG80/550</f>
        <v>0</v>
      </c>
      <c r="CG80" s="213">
        <f t="shared" si="19"/>
        <v>238000</v>
      </c>
      <c r="CH80" s="217">
        <f>+'Info recibida'!CH80/550</f>
        <v>119000</v>
      </c>
      <c r="CI80" s="170">
        <f>+'Info recibida'!CI80/550</f>
        <v>119000</v>
      </c>
      <c r="CJ80" s="170">
        <f>+'Info recibida'!CJ80/550</f>
        <v>0</v>
      </c>
      <c r="CK80" s="170">
        <f>+'Info recibida'!CK80/550</f>
        <v>0</v>
      </c>
      <c r="CL80" s="170">
        <f>+'Info recibida'!CL80/550</f>
        <v>0</v>
      </c>
      <c r="CM80" s="170">
        <f>+'Info recibida'!CM80/550</f>
        <v>0</v>
      </c>
      <c r="CN80" s="170">
        <f>+'Info recibida'!CN80/550</f>
        <v>0</v>
      </c>
      <c r="CO80" s="170">
        <f>+'Info recibida'!CO80/550</f>
        <v>0</v>
      </c>
      <c r="CP80" s="170">
        <f>+'Info recibida'!CP80/550</f>
        <v>0</v>
      </c>
      <c r="CQ80" s="213">
        <f>+'Info recibida'!CQ80/550</f>
        <v>238000</v>
      </c>
      <c r="CR80" s="70"/>
      <c r="CS80" s="220">
        <f>48000+190000</f>
        <v>238000</v>
      </c>
      <c r="CT80" s="220" t="s">
        <v>430</v>
      </c>
      <c r="CU80" s="210"/>
      <c r="CV80" s="210"/>
      <c r="CW80" s="210"/>
      <c r="CX80" s="210"/>
      <c r="CY80" s="221">
        <f>+'Info recibida'!CY80/550</f>
        <v>0</v>
      </c>
      <c r="CZ80" s="222"/>
      <c r="DA80" s="517">
        <f t="shared" si="18"/>
        <v>4.7677529792641511E-2</v>
      </c>
    </row>
    <row r="81" spans="2:105" ht="26.1" customHeight="1" x14ac:dyDescent="0.25">
      <c r="B81" s="204" t="s">
        <v>77</v>
      </c>
      <c r="C81" s="205" t="s">
        <v>357</v>
      </c>
      <c r="D81" s="47" t="s">
        <v>4</v>
      </c>
      <c r="E81" s="48" t="s">
        <v>404</v>
      </c>
      <c r="F81" s="48" t="s">
        <v>394</v>
      </c>
      <c r="G81" s="50" t="s">
        <v>128</v>
      </c>
      <c r="H81" s="49"/>
      <c r="I81" s="49" t="s">
        <v>229</v>
      </c>
      <c r="J81" s="206"/>
      <c r="K81" s="207"/>
      <c r="L81" s="208"/>
      <c r="N81" s="204" t="s">
        <v>77</v>
      </c>
      <c r="O81" s="47" t="s">
        <v>4</v>
      </c>
      <c r="P81" s="48" t="s">
        <v>404</v>
      </c>
      <c r="Q81" s="50"/>
      <c r="R81" s="50" t="s">
        <v>314</v>
      </c>
      <c r="S81" s="50"/>
      <c r="T81" s="50"/>
      <c r="U81" s="50"/>
      <c r="V81" s="50"/>
      <c r="W81" s="50" t="s">
        <v>307</v>
      </c>
      <c r="X81" s="50"/>
      <c r="Y81" s="50"/>
      <c r="Z81" s="50"/>
      <c r="AA81" s="50"/>
      <c r="AB81" s="50"/>
      <c r="AC81" s="50" t="s">
        <v>314</v>
      </c>
      <c r="AD81" s="50"/>
      <c r="AE81" s="259"/>
      <c r="AF81" s="47" t="s">
        <v>308</v>
      </c>
      <c r="AG81" s="210" t="s">
        <v>319</v>
      </c>
      <c r="AH81" s="68" t="s">
        <v>387</v>
      </c>
      <c r="AI81" s="342">
        <v>0</v>
      </c>
      <c r="AJ81" s="342">
        <v>0.25</v>
      </c>
      <c r="AK81" s="342">
        <v>0.25</v>
      </c>
      <c r="AL81" s="342">
        <v>0.25</v>
      </c>
      <c r="AM81" s="342">
        <v>0.25</v>
      </c>
      <c r="AN81" s="342">
        <v>0</v>
      </c>
      <c r="AO81" s="342">
        <v>0</v>
      </c>
      <c r="AP81" s="342">
        <v>0</v>
      </c>
      <c r="AQ81" s="342">
        <v>0</v>
      </c>
      <c r="AR81" s="342">
        <v>0</v>
      </c>
      <c r="AS81" s="342"/>
      <c r="AT81" s="342"/>
      <c r="AU81" s="342">
        <v>1</v>
      </c>
      <c r="AV81" s="342">
        <v>2</v>
      </c>
      <c r="AW81" s="342">
        <v>1</v>
      </c>
      <c r="AX81" s="342">
        <v>1</v>
      </c>
      <c r="AY81" s="342">
        <v>0</v>
      </c>
      <c r="AZ81" s="342">
        <v>1</v>
      </c>
      <c r="BA81" s="342">
        <v>0</v>
      </c>
      <c r="BB81" s="342">
        <v>1</v>
      </c>
      <c r="BC81" s="342">
        <v>0</v>
      </c>
      <c r="BD81" s="342"/>
      <c r="BE81" s="343"/>
      <c r="BF81" s="206" t="s">
        <v>4</v>
      </c>
      <c r="BG81" s="68" t="s">
        <v>349</v>
      </c>
      <c r="BH81" s="48" t="s">
        <v>313</v>
      </c>
      <c r="BI81" s="252">
        <f>+'Info recibida'!BJ81/550</f>
        <v>7636.363636363636</v>
      </c>
      <c r="BJ81" s="170">
        <f>+'Info recibida'!BK81/550</f>
        <v>1636.3636363636363</v>
      </c>
      <c r="BK81" s="170">
        <f>+'Info recibida'!BL81/550</f>
        <v>4909.090909090909</v>
      </c>
      <c r="BL81" s="170">
        <f>+'Info recibida'!BM81/550</f>
        <v>1636.3636363636363</v>
      </c>
      <c r="BM81" s="170">
        <f>+'Info recibida'!BN81/550</f>
        <v>1636.3636363636363</v>
      </c>
      <c r="BN81" s="170">
        <f>+'Info recibida'!BO81/550</f>
        <v>0</v>
      </c>
      <c r="BO81" s="170">
        <f>+'Info recibida'!BP81/550</f>
        <v>1636.3636363636363</v>
      </c>
      <c r="BP81" s="170">
        <f>+'Info recibida'!BQ81/550</f>
        <v>0</v>
      </c>
      <c r="BQ81" s="170">
        <f>+'Info recibida'!BR81/550</f>
        <v>1636.3636363636363</v>
      </c>
      <c r="BR81" s="170">
        <f>+'Info recibida'!BS81/550</f>
        <v>0</v>
      </c>
      <c r="BS81" s="170">
        <f>+'Info recibida'!BT81/550</f>
        <v>13090.90909090909</v>
      </c>
      <c r="BT81" s="215">
        <v>0.7</v>
      </c>
      <c r="BU81" s="48"/>
      <c r="BV81" s="215">
        <v>0.3</v>
      </c>
      <c r="BW81" s="243" t="s">
        <v>386</v>
      </c>
      <c r="BX81" s="212">
        <f>+'Info recibida'!BY81/550</f>
        <v>62181.818181818184</v>
      </c>
      <c r="BY81" s="170">
        <f>+'Info recibida'!BZ81/550</f>
        <v>64727.272727272728</v>
      </c>
      <c r="BZ81" s="170">
        <f>+'Info recibida'!CA81/550</f>
        <v>59000</v>
      </c>
      <c r="CA81" s="170">
        <f>+'Info recibida'!CB81/550</f>
        <v>84727.272727272721</v>
      </c>
      <c r="CB81" s="170">
        <f>+'Info recibida'!CC81/550</f>
        <v>0</v>
      </c>
      <c r="CC81" s="170">
        <f>+'Info recibida'!CD81/550</f>
        <v>20727.272727272728</v>
      </c>
      <c r="CD81" s="170">
        <f>+'Info recibida'!CE81/550</f>
        <v>20727.272727272728</v>
      </c>
      <c r="CE81" s="170">
        <f>+'Info recibida'!CF81/550</f>
        <v>20727.272727272728</v>
      </c>
      <c r="CF81" s="218">
        <f>+'Info recibida'!CG81/550</f>
        <v>20727.272727272728</v>
      </c>
      <c r="CG81" s="213">
        <f t="shared" si="19"/>
        <v>353545.45454545447</v>
      </c>
      <c r="CH81" s="212">
        <f>+'Info recibida'!CH81/550</f>
        <v>60545.454545454544</v>
      </c>
      <c r="CI81" s="170">
        <f>+'Info recibida'!CI81/550</f>
        <v>59818.181818181816</v>
      </c>
      <c r="CJ81" s="170">
        <f>+'Info recibida'!CJ81/550</f>
        <v>57363.63636363636</v>
      </c>
      <c r="CK81" s="170">
        <f>+'Info recibida'!CK81/550</f>
        <v>83090.909090909088</v>
      </c>
      <c r="CL81" s="170">
        <f>+'Info recibida'!CL81/550</f>
        <v>0</v>
      </c>
      <c r="CM81" s="170">
        <f>+'Info recibida'!CM81/550</f>
        <v>19090.909090909092</v>
      </c>
      <c r="CN81" s="170">
        <f>+'Info recibida'!CN81/550</f>
        <v>20727.272727272728</v>
      </c>
      <c r="CO81" s="170">
        <f>+'Info recibida'!CO81/550</f>
        <v>19090.909090909092</v>
      </c>
      <c r="CP81" s="170">
        <f>+'Info recibida'!CP81/550</f>
        <v>20727.272727272728</v>
      </c>
      <c r="CQ81" s="213">
        <f>+'Info recibida'!CQ81/550</f>
        <v>340454.54545454547</v>
      </c>
      <c r="CR81" s="70"/>
      <c r="CS81" s="71"/>
      <c r="CT81" s="71"/>
      <c r="CU81" s="210"/>
      <c r="CV81" s="210"/>
      <c r="CW81" s="210"/>
      <c r="CX81" s="210"/>
      <c r="CY81" s="221">
        <f>+'Info recibida'!CY81/550</f>
        <v>340454.54545454547</v>
      </c>
      <c r="CZ81" s="222"/>
      <c r="DA81" s="517">
        <f t="shared" si="18"/>
        <v>6.8201814008190406E-2</v>
      </c>
    </row>
    <row r="82" spans="2:105" ht="26.1" customHeight="1" x14ac:dyDescent="0.25">
      <c r="B82" s="143" t="s">
        <v>78</v>
      </c>
      <c r="C82" s="144" t="s">
        <v>356</v>
      </c>
      <c r="D82" s="59" t="s">
        <v>2</v>
      </c>
      <c r="E82" s="145"/>
      <c r="F82" s="60"/>
      <c r="G82" s="61"/>
      <c r="H82" s="62"/>
      <c r="I82" s="62"/>
      <c r="J82" s="147" t="s">
        <v>259</v>
      </c>
      <c r="K82" s="148"/>
      <c r="L82" s="149"/>
      <c r="N82" s="143" t="s">
        <v>78</v>
      </c>
      <c r="O82" s="150"/>
      <c r="P82" s="145"/>
      <c r="Q82" s="145"/>
      <c r="R82" s="145"/>
      <c r="S82" s="145"/>
      <c r="T82" s="145"/>
      <c r="U82" s="145"/>
      <c r="V82" s="145"/>
      <c r="W82" s="145"/>
      <c r="X82" s="145"/>
      <c r="Y82" s="145"/>
      <c r="Z82" s="145"/>
      <c r="AA82" s="145"/>
      <c r="AB82" s="145"/>
      <c r="AC82" s="145"/>
      <c r="AD82" s="145"/>
      <c r="AE82" s="151"/>
      <c r="AF82" s="150"/>
      <c r="AG82" s="145"/>
      <c r="AH82" s="145"/>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254"/>
      <c r="BF82" s="150"/>
      <c r="BG82" s="154" t="s">
        <v>356</v>
      </c>
      <c r="BH82" s="155"/>
      <c r="BI82" s="487">
        <f>+'Info recibida'!BJ82/550</f>
        <v>0</v>
      </c>
      <c r="BJ82" s="152">
        <f>+'Info recibida'!BK82/550</f>
        <v>0</v>
      </c>
      <c r="BK82" s="152">
        <f>+'Info recibida'!BL82/550</f>
        <v>0</v>
      </c>
      <c r="BL82" s="152">
        <f>+'Info recibida'!BM82/550</f>
        <v>0</v>
      </c>
      <c r="BM82" s="152">
        <f>+'Info recibida'!BN82/550</f>
        <v>0</v>
      </c>
      <c r="BN82" s="152">
        <f>+'Info recibida'!BO82/550</f>
        <v>0</v>
      </c>
      <c r="BO82" s="152">
        <f>+'Info recibida'!BP82/550</f>
        <v>0</v>
      </c>
      <c r="BP82" s="152">
        <f>+'Info recibida'!BQ82/550</f>
        <v>0</v>
      </c>
      <c r="BQ82" s="152">
        <f>+'Info recibida'!BR82/550</f>
        <v>0</v>
      </c>
      <c r="BR82" s="152">
        <f>+'Info recibida'!BS82/550</f>
        <v>0</v>
      </c>
      <c r="BS82" s="152">
        <f>+'Info recibida'!BT82/550</f>
        <v>0</v>
      </c>
      <c r="BT82" s="145"/>
      <c r="BU82" s="145"/>
      <c r="BV82" s="145"/>
      <c r="BW82" s="159"/>
      <c r="BX82" s="157">
        <f>+'Info recibida'!BY82/550</f>
        <v>12000</v>
      </c>
      <c r="BY82" s="152">
        <f>+'Info recibida'!BZ82/550</f>
        <v>12000</v>
      </c>
      <c r="BZ82" s="152">
        <f>+'Info recibida'!CA82/550</f>
        <v>12000</v>
      </c>
      <c r="CA82" s="152">
        <f>+'Info recibida'!CB82/550</f>
        <v>12000</v>
      </c>
      <c r="CB82" s="152">
        <f>+'Info recibida'!CC82/550</f>
        <v>12000</v>
      </c>
      <c r="CC82" s="152">
        <f>+'Info recibida'!CD82/550</f>
        <v>12000</v>
      </c>
      <c r="CD82" s="152">
        <f>+'Info recibida'!CE82/550</f>
        <v>12000</v>
      </c>
      <c r="CE82" s="152">
        <f>+'Info recibida'!CF82/550</f>
        <v>12000</v>
      </c>
      <c r="CF82" s="487">
        <f>+'Info recibida'!CG82/550</f>
        <v>12000</v>
      </c>
      <c r="CG82" s="156">
        <f t="shared" si="19"/>
        <v>108000</v>
      </c>
      <c r="CH82" s="157">
        <f>+'Info recibida'!CH82/550</f>
        <v>12000</v>
      </c>
      <c r="CI82" s="152">
        <f>+'Info recibida'!CI82/550</f>
        <v>12000</v>
      </c>
      <c r="CJ82" s="152">
        <f>+'Info recibida'!CJ82/550</f>
        <v>12000</v>
      </c>
      <c r="CK82" s="152">
        <f>+'Info recibida'!CK82/550</f>
        <v>12000</v>
      </c>
      <c r="CL82" s="152">
        <f>+'Info recibida'!CL82/550</f>
        <v>12000</v>
      </c>
      <c r="CM82" s="152">
        <f>+'Info recibida'!CM82/550</f>
        <v>12000</v>
      </c>
      <c r="CN82" s="152">
        <f>+'Info recibida'!CN82/550</f>
        <v>12000</v>
      </c>
      <c r="CO82" s="152">
        <f>+'Info recibida'!CO82/550</f>
        <v>12000</v>
      </c>
      <c r="CP82" s="152">
        <f>+'Info recibida'!CP82/550</f>
        <v>12000</v>
      </c>
      <c r="CQ82" s="156">
        <f>+'Info recibida'!CQ82/550</f>
        <v>108000</v>
      </c>
      <c r="CR82" s="158"/>
      <c r="CS82" s="160">
        <f>SUM(CS83:CS84)</f>
        <v>84000</v>
      </c>
      <c r="CT82" s="145"/>
      <c r="CU82" s="145"/>
      <c r="CV82" s="145"/>
      <c r="CW82" s="145"/>
      <c r="CX82" s="145"/>
      <c r="CY82" s="161">
        <f>+'Info recibida'!CY82/550</f>
        <v>24000</v>
      </c>
      <c r="CZ82" s="151"/>
      <c r="DA82" s="517"/>
    </row>
    <row r="83" spans="2:105" ht="26.1" customHeight="1" x14ac:dyDescent="0.25">
      <c r="B83" s="204" t="s">
        <v>79</v>
      </c>
      <c r="C83" s="205" t="s">
        <v>356</v>
      </c>
      <c r="D83" s="47" t="s">
        <v>2</v>
      </c>
      <c r="E83" s="48" t="s">
        <v>403</v>
      </c>
      <c r="F83" s="48" t="s">
        <v>393</v>
      </c>
      <c r="G83" s="48" t="s">
        <v>129</v>
      </c>
      <c r="H83" s="49"/>
      <c r="I83" s="49" t="s">
        <v>229</v>
      </c>
      <c r="J83" s="206"/>
      <c r="K83" s="207"/>
      <c r="L83" s="208"/>
      <c r="N83" s="204" t="s">
        <v>79</v>
      </c>
      <c r="O83" s="47" t="s">
        <v>3</v>
      </c>
      <c r="P83" s="48" t="s">
        <v>403</v>
      </c>
      <c r="Q83" s="48" t="s">
        <v>314</v>
      </c>
      <c r="R83" s="48" t="s">
        <v>314</v>
      </c>
      <c r="S83" s="48" t="s">
        <v>314</v>
      </c>
      <c r="T83" s="48" t="s">
        <v>307</v>
      </c>
      <c r="U83" s="48" t="s">
        <v>314</v>
      </c>
      <c r="V83" s="48"/>
      <c r="W83" s="48" t="s">
        <v>314</v>
      </c>
      <c r="X83" s="48"/>
      <c r="Y83" s="48"/>
      <c r="Z83" s="48"/>
      <c r="AA83" s="48"/>
      <c r="AB83" s="48" t="s">
        <v>314</v>
      </c>
      <c r="AC83" s="48"/>
      <c r="AD83" s="48"/>
      <c r="AE83" s="209"/>
      <c r="AF83" s="47" t="s">
        <v>315</v>
      </c>
      <c r="AG83" s="210" t="s">
        <v>342</v>
      </c>
      <c r="AH83" s="68" t="s">
        <v>468</v>
      </c>
      <c r="AI83" s="170"/>
      <c r="AJ83" s="170">
        <v>0</v>
      </c>
      <c r="AK83" s="170">
        <v>0</v>
      </c>
      <c r="AL83" s="170">
        <v>0</v>
      </c>
      <c r="AM83" s="170">
        <v>0</v>
      </c>
      <c r="AN83" s="170">
        <v>0</v>
      </c>
      <c r="AO83" s="170">
        <v>0</v>
      </c>
      <c r="AP83" s="170">
        <v>0</v>
      </c>
      <c r="AQ83" s="170">
        <v>0</v>
      </c>
      <c r="AR83" s="170">
        <v>0</v>
      </c>
      <c r="AS83" s="170"/>
      <c r="AT83" s="170"/>
      <c r="AU83" s="170">
        <v>1</v>
      </c>
      <c r="AV83" s="170">
        <v>1</v>
      </c>
      <c r="AW83" s="170">
        <v>1</v>
      </c>
      <c r="AX83" s="170">
        <v>1</v>
      </c>
      <c r="AY83" s="170">
        <v>1</v>
      </c>
      <c r="AZ83" s="170">
        <v>1</v>
      </c>
      <c r="BA83" s="170">
        <v>1</v>
      </c>
      <c r="BB83" s="170">
        <v>1</v>
      </c>
      <c r="BC83" s="170">
        <v>1</v>
      </c>
      <c r="BD83" s="170"/>
      <c r="BE83" s="260"/>
      <c r="BF83" s="206" t="s">
        <v>330</v>
      </c>
      <c r="BG83" s="257" t="s">
        <v>321</v>
      </c>
      <c r="BH83" s="48" t="s">
        <v>313</v>
      </c>
      <c r="BI83" s="211">
        <f>+'Info recibida'!BJ83/550</f>
        <v>0</v>
      </c>
      <c r="BJ83" s="170">
        <f>+'Info recibida'!BK83/550</f>
        <v>0</v>
      </c>
      <c r="BK83" s="170">
        <f>+'Info recibida'!BL83/550</f>
        <v>0</v>
      </c>
      <c r="BL83" s="170">
        <f>+'Info recibida'!BM83/550</f>
        <v>0</v>
      </c>
      <c r="BM83" s="170">
        <f>+'Info recibida'!BN83/550</f>
        <v>0</v>
      </c>
      <c r="BN83" s="170">
        <f>+'Info recibida'!BO83/550</f>
        <v>0</v>
      </c>
      <c r="BO83" s="170">
        <f>+'Info recibida'!BP83/550</f>
        <v>0</v>
      </c>
      <c r="BP83" s="170">
        <f>+'Info recibida'!BQ83/550</f>
        <v>0</v>
      </c>
      <c r="BQ83" s="170">
        <f>+'Info recibida'!BR83/550</f>
        <v>0</v>
      </c>
      <c r="BR83" s="170">
        <f>+'Info recibida'!BS83/550</f>
        <v>0</v>
      </c>
      <c r="BS83" s="170">
        <f>+'Info recibida'!BT83/550</f>
        <v>0</v>
      </c>
      <c r="BT83" s="48"/>
      <c r="BU83" s="48"/>
      <c r="BV83" s="48"/>
      <c r="BW83" s="243"/>
      <c r="BX83" s="212">
        <f>+'Info recibida'!BY83/550</f>
        <v>6000</v>
      </c>
      <c r="BY83" s="170">
        <f>+'Info recibida'!BZ83/550</f>
        <v>6000</v>
      </c>
      <c r="BZ83" s="170">
        <f>+'Info recibida'!CA83/550</f>
        <v>6000</v>
      </c>
      <c r="CA83" s="170">
        <f>+'Info recibida'!CB83/550</f>
        <v>6000</v>
      </c>
      <c r="CB83" s="170">
        <f>+'Info recibida'!CC83/550</f>
        <v>6000</v>
      </c>
      <c r="CC83" s="170">
        <f>+'Info recibida'!CD83/550</f>
        <v>6000</v>
      </c>
      <c r="CD83" s="170">
        <f>+'Info recibida'!CE83/550</f>
        <v>6000</v>
      </c>
      <c r="CE83" s="170">
        <f>+'Info recibida'!CF83/550</f>
        <v>6000</v>
      </c>
      <c r="CF83" s="218">
        <f>+'Info recibida'!CG83/550</f>
        <v>6000</v>
      </c>
      <c r="CG83" s="213">
        <f t="shared" ref="CG83:CG91" si="22">SUM(BX83:CF83)</f>
        <v>54000</v>
      </c>
      <c r="CH83" s="217">
        <f>+'Info recibida'!CH83/550</f>
        <v>6000</v>
      </c>
      <c r="CI83" s="170">
        <f>+'Info recibida'!CI83/550</f>
        <v>6000</v>
      </c>
      <c r="CJ83" s="170">
        <f>+'Info recibida'!CJ83/550</f>
        <v>6000</v>
      </c>
      <c r="CK83" s="170">
        <f>+'Info recibida'!CK83/550</f>
        <v>6000</v>
      </c>
      <c r="CL83" s="170">
        <f>+'Info recibida'!CL83/550</f>
        <v>6000</v>
      </c>
      <c r="CM83" s="170">
        <f>+'Info recibida'!CM83/550</f>
        <v>6000</v>
      </c>
      <c r="CN83" s="170">
        <f>+'Info recibida'!CN83/550</f>
        <v>6000</v>
      </c>
      <c r="CO83" s="170">
        <f>+'Info recibida'!CO83/550</f>
        <v>6000</v>
      </c>
      <c r="CP83" s="170">
        <f>+'Info recibida'!CP83/550</f>
        <v>6000</v>
      </c>
      <c r="CQ83" s="213">
        <f>+'Info recibida'!CQ83/550</f>
        <v>54000</v>
      </c>
      <c r="CR83" s="70"/>
      <c r="CS83" s="220">
        <f>(24000+16000+12000)</f>
        <v>52000</v>
      </c>
      <c r="CT83" s="71"/>
      <c r="CU83" s="210"/>
      <c r="CV83" s="210"/>
      <c r="CW83" s="210"/>
      <c r="CX83" s="210"/>
      <c r="CY83" s="221">
        <f>+'Info recibida'!CY83/550</f>
        <v>2000</v>
      </c>
      <c r="CZ83" s="222"/>
      <c r="DA83" s="517">
        <f t="shared" si="18"/>
        <v>1.0817590793288411E-2</v>
      </c>
    </row>
    <row r="84" spans="2:105" ht="26.1" customHeight="1" x14ac:dyDescent="0.25">
      <c r="B84" s="204" t="s">
        <v>359</v>
      </c>
      <c r="C84" s="205" t="s">
        <v>357</v>
      </c>
      <c r="D84" s="47" t="s">
        <v>2</v>
      </c>
      <c r="E84" s="48" t="s">
        <v>403</v>
      </c>
      <c r="F84" s="48" t="s">
        <v>393</v>
      </c>
      <c r="G84" s="48" t="s">
        <v>130</v>
      </c>
      <c r="H84" s="49"/>
      <c r="I84" s="49" t="s">
        <v>229</v>
      </c>
      <c r="J84" s="206"/>
      <c r="K84" s="207"/>
      <c r="L84" s="208"/>
      <c r="N84" s="204" t="s">
        <v>80</v>
      </c>
      <c r="O84" s="47" t="s">
        <v>3</v>
      </c>
      <c r="P84" s="48" t="s">
        <v>403</v>
      </c>
      <c r="Q84" s="48" t="s">
        <v>314</v>
      </c>
      <c r="R84" s="48" t="s">
        <v>314</v>
      </c>
      <c r="S84" s="48"/>
      <c r="T84" s="48" t="s">
        <v>307</v>
      </c>
      <c r="U84" s="48"/>
      <c r="V84" s="48"/>
      <c r="W84" s="48" t="s">
        <v>314</v>
      </c>
      <c r="X84" s="48"/>
      <c r="Y84" s="48"/>
      <c r="Z84" s="48"/>
      <c r="AA84" s="48"/>
      <c r="AB84" s="48"/>
      <c r="AC84" s="48"/>
      <c r="AD84" s="48" t="s">
        <v>314</v>
      </c>
      <c r="AE84" s="209"/>
      <c r="AF84" s="47" t="s">
        <v>315</v>
      </c>
      <c r="AG84" s="210" t="s">
        <v>319</v>
      </c>
      <c r="AH84" s="68" t="s">
        <v>343</v>
      </c>
      <c r="AI84" s="170"/>
      <c r="AJ84" s="170">
        <v>0</v>
      </c>
      <c r="AK84" s="170">
        <v>0</v>
      </c>
      <c r="AL84" s="170">
        <v>0</v>
      </c>
      <c r="AM84" s="170">
        <v>0</v>
      </c>
      <c r="AN84" s="170">
        <v>0</v>
      </c>
      <c r="AO84" s="170">
        <v>0</v>
      </c>
      <c r="AP84" s="170">
        <v>0</v>
      </c>
      <c r="AQ84" s="170">
        <v>0</v>
      </c>
      <c r="AR84" s="170">
        <v>0</v>
      </c>
      <c r="AS84" s="170"/>
      <c r="AT84" s="170"/>
      <c r="AU84" s="170">
        <v>1</v>
      </c>
      <c r="AV84" s="170">
        <v>1</v>
      </c>
      <c r="AW84" s="170">
        <v>1</v>
      </c>
      <c r="AX84" s="170">
        <v>1</v>
      </c>
      <c r="AY84" s="170">
        <v>1</v>
      </c>
      <c r="AZ84" s="170">
        <v>1</v>
      </c>
      <c r="BA84" s="170">
        <v>1</v>
      </c>
      <c r="BB84" s="170">
        <v>1</v>
      </c>
      <c r="BC84" s="170">
        <v>1</v>
      </c>
      <c r="BD84" s="170"/>
      <c r="BE84" s="260"/>
      <c r="BF84" s="206" t="s">
        <v>81</v>
      </c>
      <c r="BG84" s="68" t="s">
        <v>349</v>
      </c>
      <c r="BH84" s="48" t="s">
        <v>313</v>
      </c>
      <c r="BI84" s="211">
        <f>+'Info recibida'!BJ84/550</f>
        <v>0</v>
      </c>
      <c r="BJ84" s="170">
        <f>+'Info recibida'!BK84/550</f>
        <v>0</v>
      </c>
      <c r="BK84" s="170">
        <f>+'Info recibida'!BL84/550</f>
        <v>0</v>
      </c>
      <c r="BL84" s="170">
        <f>+'Info recibida'!BM84/550</f>
        <v>0</v>
      </c>
      <c r="BM84" s="170">
        <f>+'Info recibida'!BN84/550</f>
        <v>0</v>
      </c>
      <c r="BN84" s="170">
        <f>+'Info recibida'!BO84/550</f>
        <v>0</v>
      </c>
      <c r="BO84" s="170">
        <f>+'Info recibida'!BP84/550</f>
        <v>0</v>
      </c>
      <c r="BP84" s="170">
        <f>+'Info recibida'!BQ84/550</f>
        <v>0</v>
      </c>
      <c r="BQ84" s="170">
        <f>+'Info recibida'!BR84/550</f>
        <v>0</v>
      </c>
      <c r="BR84" s="170">
        <f>+'Info recibida'!BS84/550</f>
        <v>0</v>
      </c>
      <c r="BS84" s="170">
        <f>+'Info recibida'!BT84/550</f>
        <v>0</v>
      </c>
      <c r="BT84" s="48"/>
      <c r="BU84" s="48"/>
      <c r="BV84" s="48"/>
      <c r="BW84" s="243"/>
      <c r="BX84" s="212">
        <f>+'Info recibida'!BY84/550</f>
        <v>6000</v>
      </c>
      <c r="BY84" s="170">
        <f>+'Info recibida'!BZ84/550</f>
        <v>6000</v>
      </c>
      <c r="BZ84" s="170">
        <f>+'Info recibida'!CA84/550</f>
        <v>6000</v>
      </c>
      <c r="CA84" s="170">
        <f>+'Info recibida'!CB84/550</f>
        <v>6000</v>
      </c>
      <c r="CB84" s="170">
        <f>+'Info recibida'!CC84/550</f>
        <v>6000</v>
      </c>
      <c r="CC84" s="170">
        <f>+'Info recibida'!CD84/550</f>
        <v>6000</v>
      </c>
      <c r="CD84" s="170">
        <f>+'Info recibida'!CE84/550</f>
        <v>6000</v>
      </c>
      <c r="CE84" s="170">
        <f>+'Info recibida'!CF84/550</f>
        <v>6000</v>
      </c>
      <c r="CF84" s="218">
        <f>+'Info recibida'!CG84/550</f>
        <v>6000</v>
      </c>
      <c r="CG84" s="213">
        <f t="shared" si="22"/>
        <v>54000</v>
      </c>
      <c r="CH84" s="217">
        <f>+'Info recibida'!CH84/550</f>
        <v>6000</v>
      </c>
      <c r="CI84" s="170">
        <f>+'Info recibida'!CI84/550</f>
        <v>6000</v>
      </c>
      <c r="CJ84" s="170">
        <f>+'Info recibida'!CJ84/550</f>
        <v>6000</v>
      </c>
      <c r="CK84" s="170">
        <f>+'Info recibida'!CK84/550</f>
        <v>6000</v>
      </c>
      <c r="CL84" s="170">
        <f>+'Info recibida'!CL84/550</f>
        <v>6000</v>
      </c>
      <c r="CM84" s="170">
        <f>+'Info recibida'!CM84/550</f>
        <v>6000</v>
      </c>
      <c r="CN84" s="170">
        <f>+'Info recibida'!CN84/550</f>
        <v>6000</v>
      </c>
      <c r="CO84" s="170">
        <f>+'Info recibida'!CO84/550</f>
        <v>6000</v>
      </c>
      <c r="CP84" s="170">
        <f>+'Info recibida'!CP84/550</f>
        <v>6000</v>
      </c>
      <c r="CQ84" s="213">
        <f>+'Info recibida'!CQ84/550</f>
        <v>54000</v>
      </c>
      <c r="CR84" s="70"/>
      <c r="CS84" s="220">
        <f>32000</f>
        <v>32000</v>
      </c>
      <c r="CT84" s="71" t="s">
        <v>469</v>
      </c>
      <c r="CU84" s="210"/>
      <c r="CV84" s="210"/>
      <c r="CW84" s="210"/>
      <c r="CX84" s="210"/>
      <c r="CY84" s="221">
        <f>+'Info recibida'!CY84/550</f>
        <v>22000</v>
      </c>
      <c r="CZ84" s="222"/>
      <c r="DA84" s="517">
        <f t="shared" si="18"/>
        <v>1.0817590793288411E-2</v>
      </c>
    </row>
    <row r="85" spans="2:105" ht="26.1" customHeight="1" x14ac:dyDescent="0.25">
      <c r="B85" s="143" t="s">
        <v>82</v>
      </c>
      <c r="C85" s="144" t="s">
        <v>357</v>
      </c>
      <c r="D85" s="59" t="s">
        <v>2</v>
      </c>
      <c r="E85" s="145"/>
      <c r="F85" s="60"/>
      <c r="G85" s="61"/>
      <c r="H85" s="62"/>
      <c r="I85" s="62"/>
      <c r="J85" s="147" t="s">
        <v>259</v>
      </c>
      <c r="K85" s="148"/>
      <c r="L85" s="149"/>
      <c r="N85" s="143" t="s">
        <v>82</v>
      </c>
      <c r="O85" s="150"/>
      <c r="P85" s="145"/>
      <c r="Q85" s="145"/>
      <c r="R85" s="145"/>
      <c r="S85" s="145"/>
      <c r="T85" s="145"/>
      <c r="U85" s="145"/>
      <c r="V85" s="145"/>
      <c r="W85" s="145"/>
      <c r="X85" s="145"/>
      <c r="Y85" s="145"/>
      <c r="Z85" s="145"/>
      <c r="AA85" s="145"/>
      <c r="AB85" s="145"/>
      <c r="AC85" s="145"/>
      <c r="AD85" s="145"/>
      <c r="AE85" s="151"/>
      <c r="AF85" s="150"/>
      <c r="AG85" s="145"/>
      <c r="AH85" s="145"/>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254"/>
      <c r="BF85" s="150"/>
      <c r="BG85" s="154" t="s">
        <v>357</v>
      </c>
      <c r="BH85" s="155"/>
      <c r="BI85" s="487">
        <f>+'Info recibida'!BJ85/550</f>
        <v>0</v>
      </c>
      <c r="BJ85" s="152">
        <f>+'Info recibida'!BK85/550</f>
        <v>0</v>
      </c>
      <c r="BK85" s="152">
        <f>+'Info recibida'!BL85/550</f>
        <v>0</v>
      </c>
      <c r="BL85" s="152">
        <f>+'Info recibida'!BM85/550</f>
        <v>0</v>
      </c>
      <c r="BM85" s="152">
        <f>+'Info recibida'!BN85/550</f>
        <v>0</v>
      </c>
      <c r="BN85" s="152">
        <f>+'Info recibida'!BO85/550</f>
        <v>0</v>
      </c>
      <c r="BO85" s="152">
        <f>+'Info recibida'!BP85/550</f>
        <v>0</v>
      </c>
      <c r="BP85" s="152">
        <f>+'Info recibida'!BQ85/550</f>
        <v>0</v>
      </c>
      <c r="BQ85" s="152">
        <f>+'Info recibida'!BR85/550</f>
        <v>0</v>
      </c>
      <c r="BR85" s="152">
        <f>+'Info recibida'!BS85/550</f>
        <v>0</v>
      </c>
      <c r="BS85" s="152">
        <f>+'Info recibida'!BT85/550</f>
        <v>0</v>
      </c>
      <c r="BT85" s="145"/>
      <c r="BU85" s="145"/>
      <c r="BV85" s="145"/>
      <c r="BW85" s="159"/>
      <c r="BX85" s="157">
        <f>+'Info recibida'!BY85/550</f>
        <v>45000</v>
      </c>
      <c r="BY85" s="152">
        <f>+'Info recibida'!BZ85/550</f>
        <v>0</v>
      </c>
      <c r="BZ85" s="152">
        <f>+'Info recibida'!CA85/550</f>
        <v>0</v>
      </c>
      <c r="CA85" s="152">
        <f>+'Info recibida'!CB85/550</f>
        <v>0</v>
      </c>
      <c r="CB85" s="152">
        <f>+'Info recibida'!CC85/550</f>
        <v>0</v>
      </c>
      <c r="CC85" s="152">
        <f>+'Info recibida'!CD85/550</f>
        <v>0</v>
      </c>
      <c r="CD85" s="152">
        <f>+'Info recibida'!CE85/550</f>
        <v>0</v>
      </c>
      <c r="CE85" s="152">
        <f>+'Info recibida'!CF85/550</f>
        <v>0</v>
      </c>
      <c r="CF85" s="487">
        <f>+'Info recibida'!CG85/550</f>
        <v>0</v>
      </c>
      <c r="CG85" s="156">
        <f t="shared" si="22"/>
        <v>45000</v>
      </c>
      <c r="CH85" s="157">
        <f>+'Info recibida'!CH85/550</f>
        <v>45000</v>
      </c>
      <c r="CI85" s="152">
        <f>+'Info recibida'!CI85/550</f>
        <v>0</v>
      </c>
      <c r="CJ85" s="152">
        <f>+'Info recibida'!CJ85/550</f>
        <v>0</v>
      </c>
      <c r="CK85" s="152">
        <f>+'Info recibida'!CK85/550</f>
        <v>0</v>
      </c>
      <c r="CL85" s="152">
        <f>+'Info recibida'!CL85/550</f>
        <v>0</v>
      </c>
      <c r="CM85" s="152">
        <f>+'Info recibida'!CM85/550</f>
        <v>0</v>
      </c>
      <c r="CN85" s="152">
        <f>+'Info recibida'!CN85/550</f>
        <v>0</v>
      </c>
      <c r="CO85" s="152">
        <f>+'Info recibida'!CO85/550</f>
        <v>0</v>
      </c>
      <c r="CP85" s="152">
        <f>+'Info recibida'!CP85/550</f>
        <v>0</v>
      </c>
      <c r="CQ85" s="156">
        <f>+'Info recibida'!CQ85/550</f>
        <v>45000</v>
      </c>
      <c r="CR85" s="158"/>
      <c r="CS85" s="160">
        <f>SUM(CS86)</f>
        <v>45000</v>
      </c>
      <c r="CT85" s="145"/>
      <c r="CU85" s="145"/>
      <c r="CV85" s="145"/>
      <c r="CW85" s="145"/>
      <c r="CX85" s="145"/>
      <c r="CY85" s="161">
        <f>+'Info recibida'!CY85/550</f>
        <v>0</v>
      </c>
      <c r="CZ85" s="151"/>
      <c r="DA85" s="517"/>
    </row>
    <row r="86" spans="2:105" ht="26.1" customHeight="1" x14ac:dyDescent="0.25">
      <c r="B86" s="204" t="s">
        <v>83</v>
      </c>
      <c r="C86" s="205" t="s">
        <v>357</v>
      </c>
      <c r="D86" s="47" t="s">
        <v>2</v>
      </c>
      <c r="E86" s="48" t="s">
        <v>403</v>
      </c>
      <c r="F86" s="48" t="s">
        <v>393</v>
      </c>
      <c r="G86" s="48" t="s">
        <v>131</v>
      </c>
      <c r="H86" s="49"/>
      <c r="I86" s="49" t="s">
        <v>230</v>
      </c>
      <c r="J86" s="206"/>
      <c r="K86" s="207"/>
      <c r="L86" s="208"/>
      <c r="N86" s="204" t="s">
        <v>83</v>
      </c>
      <c r="O86" s="47" t="s">
        <v>3</v>
      </c>
      <c r="P86" s="48" t="s">
        <v>403</v>
      </c>
      <c r="Q86" s="48" t="s">
        <v>314</v>
      </c>
      <c r="R86" s="48" t="s">
        <v>314</v>
      </c>
      <c r="S86" s="48" t="s">
        <v>314</v>
      </c>
      <c r="T86" s="48" t="s">
        <v>307</v>
      </c>
      <c r="U86" s="48"/>
      <c r="V86" s="48"/>
      <c r="W86" s="48" t="s">
        <v>314</v>
      </c>
      <c r="X86" s="48"/>
      <c r="Y86" s="48"/>
      <c r="Z86" s="48"/>
      <c r="AA86" s="48"/>
      <c r="AB86" s="48"/>
      <c r="AC86" s="48"/>
      <c r="AD86" s="48"/>
      <c r="AE86" s="209"/>
      <c r="AF86" s="47" t="s">
        <v>315</v>
      </c>
      <c r="AG86" s="210" t="s">
        <v>319</v>
      </c>
      <c r="AH86" s="68" t="s">
        <v>344</v>
      </c>
      <c r="AI86" s="170"/>
      <c r="AJ86" s="170">
        <v>0</v>
      </c>
      <c r="AK86" s="170">
        <v>0</v>
      </c>
      <c r="AL86" s="170">
        <v>0</v>
      </c>
      <c r="AM86" s="170">
        <v>0</v>
      </c>
      <c r="AN86" s="170">
        <v>0</v>
      </c>
      <c r="AO86" s="170">
        <v>0</v>
      </c>
      <c r="AP86" s="170">
        <v>0</v>
      </c>
      <c r="AQ86" s="170">
        <v>0</v>
      </c>
      <c r="AR86" s="170">
        <v>0</v>
      </c>
      <c r="AS86" s="170"/>
      <c r="AT86" s="170"/>
      <c r="AU86" s="170">
        <v>1</v>
      </c>
      <c r="AV86" s="170">
        <v>0</v>
      </c>
      <c r="AW86" s="170">
        <v>0</v>
      </c>
      <c r="AX86" s="170">
        <v>0</v>
      </c>
      <c r="AY86" s="170">
        <v>0</v>
      </c>
      <c r="AZ86" s="170">
        <v>0</v>
      </c>
      <c r="BA86" s="170">
        <v>0</v>
      </c>
      <c r="BB86" s="170">
        <v>0</v>
      </c>
      <c r="BC86" s="170">
        <v>0</v>
      </c>
      <c r="BD86" s="170"/>
      <c r="BE86" s="260"/>
      <c r="BF86" s="206" t="s">
        <v>311</v>
      </c>
      <c r="BG86" s="68" t="s">
        <v>349</v>
      </c>
      <c r="BH86" s="48" t="s">
        <v>313</v>
      </c>
      <c r="BI86" s="211">
        <f>+'Info recibida'!BJ86/550</f>
        <v>0</v>
      </c>
      <c r="BJ86" s="170">
        <f>+'Info recibida'!BK86/550</f>
        <v>0</v>
      </c>
      <c r="BK86" s="170">
        <f>+'Info recibida'!BL86/550</f>
        <v>0</v>
      </c>
      <c r="BL86" s="170">
        <f>+'Info recibida'!BM86/550</f>
        <v>0</v>
      </c>
      <c r="BM86" s="170">
        <f>+'Info recibida'!BN86/550</f>
        <v>0</v>
      </c>
      <c r="BN86" s="170">
        <f>+'Info recibida'!BO86/550</f>
        <v>0</v>
      </c>
      <c r="BO86" s="170">
        <f>+'Info recibida'!BP86/550</f>
        <v>0</v>
      </c>
      <c r="BP86" s="170">
        <f>+'Info recibida'!BQ86/550</f>
        <v>0</v>
      </c>
      <c r="BQ86" s="170">
        <f>+'Info recibida'!BR86/550</f>
        <v>0</v>
      </c>
      <c r="BR86" s="170">
        <f>+'Info recibida'!BS86/550</f>
        <v>0</v>
      </c>
      <c r="BS86" s="170">
        <f>+'Info recibida'!BT86/550</f>
        <v>0</v>
      </c>
      <c r="BT86" s="48"/>
      <c r="BU86" s="48"/>
      <c r="BV86" s="48"/>
      <c r="BW86" s="243"/>
      <c r="BX86" s="212">
        <f>+'Info recibida'!BY86/550</f>
        <v>45000</v>
      </c>
      <c r="BY86" s="170">
        <f>+'Info recibida'!BZ86/550</f>
        <v>0</v>
      </c>
      <c r="BZ86" s="170">
        <f>+'Info recibida'!CA86/550</f>
        <v>0</v>
      </c>
      <c r="CA86" s="170">
        <f>+'Info recibida'!CB86/550</f>
        <v>0</v>
      </c>
      <c r="CB86" s="170">
        <f>+'Info recibida'!CC86/550</f>
        <v>0</v>
      </c>
      <c r="CC86" s="170">
        <f>+'Info recibida'!CD86/550</f>
        <v>0</v>
      </c>
      <c r="CD86" s="170">
        <f>+'Info recibida'!CE86/550</f>
        <v>0</v>
      </c>
      <c r="CE86" s="170">
        <f>+'Info recibida'!CF86/550</f>
        <v>0</v>
      </c>
      <c r="CF86" s="218">
        <f>+'Info recibida'!CG86/550</f>
        <v>0</v>
      </c>
      <c r="CG86" s="213">
        <f t="shared" si="22"/>
        <v>45000</v>
      </c>
      <c r="CH86" s="217">
        <f>+'Info recibida'!CH86/550</f>
        <v>45000</v>
      </c>
      <c r="CI86" s="170">
        <f>+'Info recibida'!CI86/550</f>
        <v>0</v>
      </c>
      <c r="CJ86" s="170">
        <f>+'Info recibida'!CJ86/550</f>
        <v>0</v>
      </c>
      <c r="CK86" s="170">
        <f>+'Info recibida'!CK86/550</f>
        <v>0</v>
      </c>
      <c r="CL86" s="170">
        <f>+'Info recibida'!CL86/550</f>
        <v>0</v>
      </c>
      <c r="CM86" s="170">
        <f>+'Info recibida'!CM86/550</f>
        <v>0</v>
      </c>
      <c r="CN86" s="170">
        <f>+'Info recibida'!CN86/550</f>
        <v>0</v>
      </c>
      <c r="CO86" s="170">
        <f>+'Info recibida'!CO86/550</f>
        <v>0</v>
      </c>
      <c r="CP86" s="170">
        <f>+'Info recibida'!CP86/550</f>
        <v>0</v>
      </c>
      <c r="CQ86" s="213">
        <f>+'Info recibida'!CQ86/550</f>
        <v>45000</v>
      </c>
      <c r="CR86" s="70"/>
      <c r="CS86" s="220">
        <f>35000+10000</f>
        <v>45000</v>
      </c>
      <c r="CT86" s="71" t="s">
        <v>345</v>
      </c>
      <c r="CU86" s="210"/>
      <c r="CV86" s="210"/>
      <c r="CW86" s="210"/>
      <c r="CX86" s="210"/>
      <c r="CY86" s="221">
        <f>+'Info recibida'!CY86/550</f>
        <v>0</v>
      </c>
      <c r="CZ86" s="222"/>
      <c r="DA86" s="517">
        <f t="shared" si="18"/>
        <v>9.0146589944070082E-3</v>
      </c>
    </row>
    <row r="87" spans="2:105" ht="26.1" customHeight="1" x14ac:dyDescent="0.25">
      <c r="B87" s="143" t="s">
        <v>84</v>
      </c>
      <c r="C87" s="144" t="s">
        <v>356</v>
      </c>
      <c r="D87" s="59" t="s">
        <v>490</v>
      </c>
      <c r="E87" s="145"/>
      <c r="F87" s="60"/>
      <c r="G87" s="61"/>
      <c r="H87" s="62"/>
      <c r="I87" s="62"/>
      <c r="J87" s="147" t="s">
        <v>259</v>
      </c>
      <c r="K87" s="148"/>
      <c r="L87" s="149"/>
      <c r="N87" s="143" t="s">
        <v>84</v>
      </c>
      <c r="O87" s="150"/>
      <c r="P87" s="145"/>
      <c r="Q87" s="145"/>
      <c r="R87" s="145"/>
      <c r="S87" s="145"/>
      <c r="T87" s="145"/>
      <c r="U87" s="145"/>
      <c r="V87" s="145"/>
      <c r="W87" s="145"/>
      <c r="X87" s="145"/>
      <c r="Y87" s="145"/>
      <c r="Z87" s="145"/>
      <c r="AA87" s="145"/>
      <c r="AB87" s="145"/>
      <c r="AC87" s="145"/>
      <c r="AD87" s="145"/>
      <c r="AE87" s="151"/>
      <c r="AF87" s="150"/>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51"/>
      <c r="BF87" s="150"/>
      <c r="BG87" s="154" t="s">
        <v>356</v>
      </c>
      <c r="BH87" s="155"/>
      <c r="BI87" s="487">
        <f>+'Info recibida'!BJ87/550</f>
        <v>40000</v>
      </c>
      <c r="BJ87" s="152">
        <f>+'Info recibida'!BK87/550</f>
        <v>40000</v>
      </c>
      <c r="BK87" s="152">
        <f>+'Info recibida'!BL87/550</f>
        <v>40000</v>
      </c>
      <c r="BL87" s="152">
        <f>+'Info recibida'!BM87/550</f>
        <v>40000</v>
      </c>
      <c r="BM87" s="152">
        <f>+'Info recibida'!BN87/550</f>
        <v>40000</v>
      </c>
      <c r="BN87" s="152">
        <f>+'Info recibida'!BO87/550</f>
        <v>40000</v>
      </c>
      <c r="BO87" s="152">
        <f>+'Info recibida'!BP87/550</f>
        <v>40000</v>
      </c>
      <c r="BP87" s="152">
        <f>+'Info recibida'!BQ87/550</f>
        <v>40000</v>
      </c>
      <c r="BQ87" s="152">
        <f>+'Info recibida'!BR87/550</f>
        <v>40000</v>
      </c>
      <c r="BR87" s="152">
        <f>+'Info recibida'!BS87/550</f>
        <v>40000</v>
      </c>
      <c r="BS87" s="152">
        <f>+'Info recibida'!BT87/550</f>
        <v>360000</v>
      </c>
      <c r="BT87" s="145"/>
      <c r="BU87" s="145"/>
      <c r="BV87" s="145"/>
      <c r="BW87" s="159"/>
      <c r="BX87" s="157">
        <f>+'Info recibida'!BY87/550</f>
        <v>75454.545454545456</v>
      </c>
      <c r="BY87" s="152">
        <f>+'Info recibida'!BZ87/550</f>
        <v>97272.727272727279</v>
      </c>
      <c r="BZ87" s="152">
        <f>+'Info recibida'!CA87/550</f>
        <v>100000</v>
      </c>
      <c r="CA87" s="152">
        <f>+'Info recibida'!CB87/550</f>
        <v>99090.909090909088</v>
      </c>
      <c r="CB87" s="152">
        <f>+'Info recibida'!CC87/550</f>
        <v>44545.454545454544</v>
      </c>
      <c r="CC87" s="152">
        <f>+'Info recibida'!CD87/550</f>
        <v>44545.454545454544</v>
      </c>
      <c r="CD87" s="152">
        <f>+'Info recibida'!CE87/550</f>
        <v>44545.454545454544</v>
      </c>
      <c r="CE87" s="152">
        <f>+'Info recibida'!CF87/550</f>
        <v>99090.909090909088</v>
      </c>
      <c r="CF87" s="487">
        <f>+'Info recibida'!CG87/550</f>
        <v>44545.454545454544</v>
      </c>
      <c r="CG87" s="156">
        <f t="shared" si="22"/>
        <v>649090.90909090906</v>
      </c>
      <c r="CH87" s="157">
        <f>+'Info recibida'!CH87/550</f>
        <v>35454.545454545456</v>
      </c>
      <c r="CI87" s="152">
        <f>+'Info recibida'!CI87/550</f>
        <v>57272.727272727272</v>
      </c>
      <c r="CJ87" s="152">
        <f>+'Info recibida'!CJ87/550</f>
        <v>60000</v>
      </c>
      <c r="CK87" s="152">
        <f>+'Info recibida'!CK87/550</f>
        <v>59090.909090909088</v>
      </c>
      <c r="CL87" s="152">
        <f>+'Info recibida'!CL87/550</f>
        <v>4545.454545454545</v>
      </c>
      <c r="CM87" s="152">
        <f>+'Info recibida'!CM87/550</f>
        <v>4545.454545454545</v>
      </c>
      <c r="CN87" s="152">
        <f>+'Info recibida'!CN87/550</f>
        <v>4545.454545454545</v>
      </c>
      <c r="CO87" s="152">
        <f>+'Info recibida'!CO87/550</f>
        <v>59090.909090909088</v>
      </c>
      <c r="CP87" s="152">
        <f>+'Info recibida'!CP87/550</f>
        <v>4545.454545454545</v>
      </c>
      <c r="CQ87" s="156">
        <f>+'Info recibida'!CQ87/550</f>
        <v>289090.90909090912</v>
      </c>
      <c r="CR87" s="158"/>
      <c r="CS87" s="160">
        <f>SUM(CS88:CS90)</f>
        <v>270000</v>
      </c>
      <c r="CT87" s="145"/>
      <c r="CU87" s="145"/>
      <c r="CV87" s="145"/>
      <c r="CW87" s="145"/>
      <c r="CX87" s="145"/>
      <c r="CY87" s="152">
        <f>+'Info recibida'!CY87/550</f>
        <v>19090.909090909092</v>
      </c>
      <c r="CZ87" s="151"/>
      <c r="DA87" s="517"/>
    </row>
    <row r="88" spans="2:105" ht="26.1" customHeight="1" x14ac:dyDescent="0.25">
      <c r="B88" s="204" t="s">
        <v>85</v>
      </c>
      <c r="C88" s="205" t="s">
        <v>356</v>
      </c>
      <c r="D88" s="47" t="s">
        <v>4</v>
      </c>
      <c r="E88" s="48" t="s">
        <v>404</v>
      </c>
      <c r="F88" s="48" t="s">
        <v>394</v>
      </c>
      <c r="G88" s="48" t="s">
        <v>132</v>
      </c>
      <c r="H88" s="49" t="s">
        <v>245</v>
      </c>
      <c r="I88" s="49" t="s">
        <v>230</v>
      </c>
      <c r="J88" s="206"/>
      <c r="K88" s="207"/>
      <c r="L88" s="208"/>
      <c r="N88" s="204" t="s">
        <v>470</v>
      </c>
      <c r="O88" s="47" t="s">
        <v>4</v>
      </c>
      <c r="P88" s="48" t="s">
        <v>404</v>
      </c>
      <c r="Q88" s="48" t="s">
        <v>314</v>
      </c>
      <c r="R88" s="48" t="s">
        <v>314</v>
      </c>
      <c r="S88" s="48"/>
      <c r="T88" s="48"/>
      <c r="U88" s="48"/>
      <c r="V88" s="48"/>
      <c r="W88" s="48" t="s">
        <v>307</v>
      </c>
      <c r="X88" s="48"/>
      <c r="Y88" s="48"/>
      <c r="Z88" s="48"/>
      <c r="AA88" s="48"/>
      <c r="AB88" s="48"/>
      <c r="AC88" s="48"/>
      <c r="AD88" s="48"/>
      <c r="AE88" s="209"/>
      <c r="AF88" s="47"/>
      <c r="AG88" s="210" t="s">
        <v>319</v>
      </c>
      <c r="AH88" s="68" t="s">
        <v>385</v>
      </c>
      <c r="AI88" s="215">
        <v>0.65</v>
      </c>
      <c r="AJ88" s="215">
        <v>0.1</v>
      </c>
      <c r="AK88" s="215">
        <v>0.1</v>
      </c>
      <c r="AL88" s="215">
        <v>0.1</v>
      </c>
      <c r="AM88" s="215">
        <v>0.1</v>
      </c>
      <c r="AN88" s="215">
        <v>0.1</v>
      </c>
      <c r="AO88" s="215">
        <v>0.1</v>
      </c>
      <c r="AP88" s="215">
        <v>0.1</v>
      </c>
      <c r="AQ88" s="215">
        <v>0.1</v>
      </c>
      <c r="AR88" s="215">
        <v>0.1</v>
      </c>
      <c r="AS88" s="48"/>
      <c r="AT88" s="48"/>
      <c r="AU88" s="215">
        <v>0.4</v>
      </c>
      <c r="AV88" s="215">
        <v>0.5</v>
      </c>
      <c r="AW88" s="215">
        <v>0.6</v>
      </c>
      <c r="AX88" s="215">
        <v>0.8</v>
      </c>
      <c r="AY88" s="215">
        <v>0.9</v>
      </c>
      <c r="AZ88" s="215">
        <v>1</v>
      </c>
      <c r="BA88" s="215">
        <v>1</v>
      </c>
      <c r="BB88" s="215">
        <v>1</v>
      </c>
      <c r="BC88" s="215">
        <v>1</v>
      </c>
      <c r="BD88" s="215">
        <v>1</v>
      </c>
      <c r="BE88" s="344">
        <v>1</v>
      </c>
      <c r="BF88" s="206" t="s">
        <v>311</v>
      </c>
      <c r="BG88" s="68" t="s">
        <v>321</v>
      </c>
      <c r="BH88" s="48" t="s">
        <v>313</v>
      </c>
      <c r="BI88" s="252">
        <f>+'Info recibida'!BJ88/550</f>
        <v>40000</v>
      </c>
      <c r="BJ88" s="170">
        <f>+'Info recibida'!BK88/550</f>
        <v>40000</v>
      </c>
      <c r="BK88" s="170">
        <f>+'Info recibida'!BL88/550</f>
        <v>40000</v>
      </c>
      <c r="BL88" s="170">
        <f>+'Info recibida'!BM88/550</f>
        <v>40000</v>
      </c>
      <c r="BM88" s="170">
        <f>+'Info recibida'!BN88/550</f>
        <v>40000</v>
      </c>
      <c r="BN88" s="170">
        <f>+'Info recibida'!BO88/550</f>
        <v>40000</v>
      </c>
      <c r="BO88" s="170">
        <f>+'Info recibida'!BP88/550</f>
        <v>40000</v>
      </c>
      <c r="BP88" s="170">
        <f>+'Info recibida'!BQ88/550</f>
        <v>40000</v>
      </c>
      <c r="BQ88" s="170">
        <f>+'Info recibida'!BR88/550</f>
        <v>40000</v>
      </c>
      <c r="BR88" s="170">
        <f>+'Info recibida'!BS88/550</f>
        <v>40000</v>
      </c>
      <c r="BS88" s="170">
        <f>+'Info recibida'!BT88/550</f>
        <v>360000</v>
      </c>
      <c r="BT88" s="308">
        <v>1</v>
      </c>
      <c r="BU88" s="48"/>
      <c r="BV88" s="48"/>
      <c r="BW88" s="243"/>
      <c r="BX88" s="212">
        <f>+'Info recibida'!BY88/550</f>
        <v>45454.545454545456</v>
      </c>
      <c r="BY88" s="170">
        <f>+'Info recibida'!BZ88/550</f>
        <v>57272.727272727272</v>
      </c>
      <c r="BZ88" s="170">
        <f>+'Info recibida'!CA88/550</f>
        <v>60000</v>
      </c>
      <c r="CA88" s="170">
        <f>+'Info recibida'!CB88/550</f>
        <v>89090.909090909088</v>
      </c>
      <c r="CB88" s="170">
        <f>+'Info recibida'!CC88/550</f>
        <v>34545.454545454544</v>
      </c>
      <c r="CC88" s="170">
        <f>+'Info recibida'!CD88/550</f>
        <v>34545.454545454544</v>
      </c>
      <c r="CD88" s="170">
        <f>+'Info recibida'!CE88/550</f>
        <v>34545.454545454544</v>
      </c>
      <c r="CE88" s="170">
        <f>+'Info recibida'!CF88/550</f>
        <v>89090.909090909088</v>
      </c>
      <c r="CF88" s="218">
        <f>+'Info recibida'!CG88/550</f>
        <v>34545.454545454544</v>
      </c>
      <c r="CG88" s="213">
        <f t="shared" si="22"/>
        <v>479090.909090909</v>
      </c>
      <c r="CH88" s="212">
        <f>+'Info recibida'!CH88/550</f>
        <v>5454.545454545455</v>
      </c>
      <c r="CI88" s="170">
        <f>+'Info recibida'!CI88/550</f>
        <v>17272.727272727272</v>
      </c>
      <c r="CJ88" s="170">
        <f>+'Info recibida'!CJ88/550</f>
        <v>20000</v>
      </c>
      <c r="CK88" s="170">
        <f>+'Info recibida'!CK88/550</f>
        <v>49090.909090909088</v>
      </c>
      <c r="CL88" s="170">
        <f>+'Info recibida'!CL88/550</f>
        <v>-5454.545454545455</v>
      </c>
      <c r="CM88" s="170">
        <f>+'Info recibida'!CM88/550</f>
        <v>-5454.545454545455</v>
      </c>
      <c r="CN88" s="170">
        <f>+'Info recibida'!CN88/550</f>
        <v>-5454.545454545455</v>
      </c>
      <c r="CO88" s="170">
        <f>+'Info recibida'!CO88/550</f>
        <v>49090.909090909088</v>
      </c>
      <c r="CP88" s="170">
        <f>+'Info recibida'!CP88/550</f>
        <v>-5454.545454545455</v>
      </c>
      <c r="CQ88" s="213">
        <f>+'Info recibida'!CQ88/550</f>
        <v>119090.90909090909</v>
      </c>
      <c r="CR88" s="70"/>
      <c r="CS88" s="71"/>
      <c r="CT88" s="71"/>
      <c r="CU88" s="210"/>
      <c r="CV88" s="210"/>
      <c r="CW88" s="210"/>
      <c r="CX88" s="210"/>
      <c r="CY88" s="221">
        <f>+'Info recibida'!CY88/550</f>
        <v>119090.90909090909</v>
      </c>
      <c r="CZ88" s="222"/>
      <c r="DA88" s="517">
        <f t="shared" si="18"/>
        <v>2.3856976328632689E-2</v>
      </c>
    </row>
    <row r="89" spans="2:105" ht="26.1" customHeight="1" x14ac:dyDescent="0.25">
      <c r="B89" s="312" t="s">
        <v>86</v>
      </c>
      <c r="C89" s="205" t="s">
        <v>357</v>
      </c>
      <c r="D89" s="47" t="s">
        <v>1</v>
      </c>
      <c r="E89" s="255"/>
      <c r="F89" s="48" t="s">
        <v>87</v>
      </c>
      <c r="G89" s="48" t="s">
        <v>133</v>
      </c>
      <c r="H89" s="49"/>
      <c r="I89" s="49" t="s">
        <v>230</v>
      </c>
      <c r="J89" s="206"/>
      <c r="K89" s="207"/>
      <c r="L89" s="208"/>
      <c r="N89" s="312" t="s">
        <v>86</v>
      </c>
      <c r="O89" s="345" t="s">
        <v>4</v>
      </c>
      <c r="P89" s="346" t="s">
        <v>87</v>
      </c>
      <c r="Q89" s="255" t="s">
        <v>314</v>
      </c>
      <c r="R89" s="255" t="s">
        <v>314</v>
      </c>
      <c r="S89" s="255" t="s">
        <v>314</v>
      </c>
      <c r="T89" s="255"/>
      <c r="U89" s="255" t="s">
        <v>314</v>
      </c>
      <c r="V89" s="255"/>
      <c r="W89" s="255" t="s">
        <v>307</v>
      </c>
      <c r="X89" s="255"/>
      <c r="Y89" s="255"/>
      <c r="Z89" s="255"/>
      <c r="AA89" s="255"/>
      <c r="AB89" s="255"/>
      <c r="AC89" s="255"/>
      <c r="AD89" s="255"/>
      <c r="AE89" s="333"/>
      <c r="AF89" s="332"/>
      <c r="AG89" s="255"/>
      <c r="AH89" s="255" t="s">
        <v>480</v>
      </c>
      <c r="AI89" s="170"/>
      <c r="AJ89" s="170">
        <v>0</v>
      </c>
      <c r="AK89" s="170">
        <v>0</v>
      </c>
      <c r="AL89" s="170">
        <v>0</v>
      </c>
      <c r="AM89" s="170">
        <v>0</v>
      </c>
      <c r="AN89" s="170">
        <v>0</v>
      </c>
      <c r="AO89" s="170">
        <v>0</v>
      </c>
      <c r="AP89" s="170">
        <v>0</v>
      </c>
      <c r="AQ89" s="170">
        <v>0</v>
      </c>
      <c r="AR89" s="170">
        <v>0</v>
      </c>
      <c r="AS89" s="272"/>
      <c r="AT89" s="272"/>
      <c r="AU89" s="272">
        <v>0</v>
      </c>
      <c r="AV89" s="272">
        <v>0</v>
      </c>
      <c r="AW89" s="272">
        <v>0</v>
      </c>
      <c r="AX89" s="272">
        <v>0</v>
      </c>
      <c r="AY89" s="272">
        <v>1</v>
      </c>
      <c r="AZ89" s="272">
        <v>0</v>
      </c>
      <c r="BA89" s="272">
        <v>0</v>
      </c>
      <c r="BB89" s="272">
        <v>0</v>
      </c>
      <c r="BC89" s="272">
        <v>0</v>
      </c>
      <c r="BD89" s="272"/>
      <c r="BE89" s="334"/>
      <c r="BF89" s="332"/>
      <c r="BG89" s="68" t="s">
        <v>349</v>
      </c>
      <c r="BH89" s="335" t="s">
        <v>323</v>
      </c>
      <c r="BI89" s="414">
        <f>+'Info recibida'!BJ89/550</f>
        <v>0</v>
      </c>
      <c r="BJ89" s="170">
        <f>+'Info recibida'!BK89/550</f>
        <v>0</v>
      </c>
      <c r="BK89" s="170">
        <f>+'Info recibida'!BL89/550</f>
        <v>0</v>
      </c>
      <c r="BL89" s="170">
        <f>+'Info recibida'!BM89/550</f>
        <v>0</v>
      </c>
      <c r="BM89" s="170">
        <f>+'Info recibida'!BN89/550</f>
        <v>0</v>
      </c>
      <c r="BN89" s="170">
        <f>+'Info recibida'!BO89/550</f>
        <v>0</v>
      </c>
      <c r="BO89" s="170">
        <f>+'Info recibida'!BP89/550</f>
        <v>0</v>
      </c>
      <c r="BP89" s="170">
        <f>+'Info recibida'!BQ89/550</f>
        <v>0</v>
      </c>
      <c r="BQ89" s="170">
        <f>+'Info recibida'!BR89/550</f>
        <v>0</v>
      </c>
      <c r="BR89" s="170">
        <f>+'Info recibida'!BS89/550</f>
        <v>0</v>
      </c>
      <c r="BS89" s="170">
        <f>+'Info recibida'!BT89/550</f>
        <v>0</v>
      </c>
      <c r="BT89" s="255"/>
      <c r="BU89" s="255"/>
      <c r="BV89" s="255"/>
      <c r="BW89" s="336"/>
      <c r="BX89" s="337">
        <f>+'Info recibida'!BY89/550</f>
        <v>20000</v>
      </c>
      <c r="BY89" s="272">
        <f>+'Info recibida'!BZ89/550</f>
        <v>30000</v>
      </c>
      <c r="BZ89" s="272">
        <f>+'Info recibida'!CA89/550</f>
        <v>30000</v>
      </c>
      <c r="CA89" s="272">
        <f>+'Info recibida'!CB89/550</f>
        <v>0</v>
      </c>
      <c r="CB89" s="272">
        <f>+'Info recibida'!CC89/550</f>
        <v>0</v>
      </c>
      <c r="CC89" s="272">
        <f>+'Info recibida'!CD89/550</f>
        <v>0</v>
      </c>
      <c r="CD89" s="272">
        <f>+'Info recibida'!CE89/550</f>
        <v>0</v>
      </c>
      <c r="CE89" s="272">
        <f>+'Info recibida'!CF89/550</f>
        <v>0</v>
      </c>
      <c r="CF89" s="502">
        <f>+'Info recibida'!CG89/550</f>
        <v>0</v>
      </c>
      <c r="CG89" s="213">
        <f t="shared" si="22"/>
        <v>80000</v>
      </c>
      <c r="CH89" s="217">
        <f>+'Info recibida'!CH89/550</f>
        <v>20000</v>
      </c>
      <c r="CI89" s="170">
        <f>+'Info recibida'!CI89/550</f>
        <v>30000</v>
      </c>
      <c r="CJ89" s="170">
        <f>+'Info recibida'!CJ89/550</f>
        <v>30000</v>
      </c>
      <c r="CK89" s="170">
        <f>+'Info recibida'!CK89/550</f>
        <v>0</v>
      </c>
      <c r="CL89" s="170">
        <f>+'Info recibida'!CL89/550</f>
        <v>0</v>
      </c>
      <c r="CM89" s="170">
        <f>+'Info recibida'!CM89/550</f>
        <v>0</v>
      </c>
      <c r="CN89" s="170">
        <f>+'Info recibida'!CN89/550</f>
        <v>0</v>
      </c>
      <c r="CO89" s="170">
        <f>+'Info recibida'!CO89/550</f>
        <v>0</v>
      </c>
      <c r="CP89" s="170">
        <f>+'Info recibida'!CP89/550</f>
        <v>0</v>
      </c>
      <c r="CQ89" s="213">
        <f>+'Info recibida'!CQ89/550</f>
        <v>80000</v>
      </c>
      <c r="CR89" s="338"/>
      <c r="CS89" s="220">
        <v>80000</v>
      </c>
      <c r="CT89" s="255"/>
      <c r="CU89" s="255"/>
      <c r="CV89" s="255"/>
      <c r="CW89" s="255"/>
      <c r="CX89" s="255"/>
      <c r="CY89" s="221">
        <f>+'Info recibida'!CY89/550</f>
        <v>0</v>
      </c>
      <c r="CZ89" s="333"/>
      <c r="DA89" s="517">
        <f t="shared" si="18"/>
        <v>1.602606043450135E-2</v>
      </c>
    </row>
    <row r="90" spans="2:105" ht="26.1" customHeight="1" x14ac:dyDescent="0.25">
      <c r="B90" s="204" t="s">
        <v>88</v>
      </c>
      <c r="C90" s="205" t="s">
        <v>356</v>
      </c>
      <c r="D90" s="47" t="s">
        <v>2</v>
      </c>
      <c r="E90" s="48" t="s">
        <v>403</v>
      </c>
      <c r="F90" s="48" t="s">
        <v>393</v>
      </c>
      <c r="G90" s="48" t="s">
        <v>134</v>
      </c>
      <c r="H90" s="49" t="s">
        <v>245</v>
      </c>
      <c r="I90" s="49" t="s">
        <v>230</v>
      </c>
      <c r="J90" s="206"/>
      <c r="K90" s="207"/>
      <c r="L90" s="208"/>
      <c r="N90" s="204" t="s">
        <v>88</v>
      </c>
      <c r="O90" s="47" t="s">
        <v>3</v>
      </c>
      <c r="P90" s="48" t="s">
        <v>403</v>
      </c>
      <c r="Q90" s="48"/>
      <c r="R90" s="48" t="s">
        <v>314</v>
      </c>
      <c r="S90" s="48"/>
      <c r="T90" s="48" t="s">
        <v>307</v>
      </c>
      <c r="U90" s="48"/>
      <c r="V90" s="48"/>
      <c r="W90" s="48" t="s">
        <v>314</v>
      </c>
      <c r="X90" s="48"/>
      <c r="Y90" s="48" t="s">
        <v>314</v>
      </c>
      <c r="Z90" s="48"/>
      <c r="AA90" s="48"/>
      <c r="AB90" s="48" t="s">
        <v>314</v>
      </c>
      <c r="AC90" s="48" t="s">
        <v>314</v>
      </c>
      <c r="AD90" s="48"/>
      <c r="AE90" s="209"/>
      <c r="AF90" s="47" t="s">
        <v>315</v>
      </c>
      <c r="AG90" s="210" t="s">
        <v>316</v>
      </c>
      <c r="AH90" s="68" t="s">
        <v>346</v>
      </c>
      <c r="AI90" s="170"/>
      <c r="AJ90" s="170">
        <v>0</v>
      </c>
      <c r="AK90" s="170">
        <v>0</v>
      </c>
      <c r="AL90" s="170">
        <v>0</v>
      </c>
      <c r="AM90" s="170">
        <v>0</v>
      </c>
      <c r="AN90" s="170">
        <v>0</v>
      </c>
      <c r="AO90" s="170">
        <v>0</v>
      </c>
      <c r="AP90" s="170">
        <v>0</v>
      </c>
      <c r="AQ90" s="170">
        <v>0</v>
      </c>
      <c r="AR90" s="170">
        <v>0</v>
      </c>
      <c r="AS90" s="170"/>
      <c r="AT90" s="170"/>
      <c r="AU90" s="170">
        <v>2</v>
      </c>
      <c r="AV90" s="170">
        <v>2</v>
      </c>
      <c r="AW90" s="170">
        <v>2</v>
      </c>
      <c r="AX90" s="170">
        <v>2</v>
      </c>
      <c r="AY90" s="170">
        <v>2</v>
      </c>
      <c r="AZ90" s="170">
        <v>2</v>
      </c>
      <c r="BA90" s="170">
        <v>2</v>
      </c>
      <c r="BB90" s="170">
        <v>2</v>
      </c>
      <c r="BC90" s="170">
        <v>2</v>
      </c>
      <c r="BD90" s="170"/>
      <c r="BE90" s="260"/>
      <c r="BF90" s="206" t="s">
        <v>334</v>
      </c>
      <c r="BG90" s="68" t="s">
        <v>312</v>
      </c>
      <c r="BH90" s="48" t="s">
        <v>323</v>
      </c>
      <c r="BI90" s="211">
        <f>+'Info recibida'!BJ90/550</f>
        <v>0</v>
      </c>
      <c r="BJ90" s="170">
        <f>+'Info recibida'!BK90/550</f>
        <v>0</v>
      </c>
      <c r="BK90" s="170">
        <f>+'Info recibida'!BL90/550</f>
        <v>0</v>
      </c>
      <c r="BL90" s="170">
        <f>+'Info recibida'!BM90/550</f>
        <v>0</v>
      </c>
      <c r="BM90" s="170">
        <f>+'Info recibida'!BN90/550</f>
        <v>0</v>
      </c>
      <c r="BN90" s="170">
        <f>+'Info recibida'!BO90/550</f>
        <v>0</v>
      </c>
      <c r="BO90" s="170">
        <f>+'Info recibida'!BP90/550</f>
        <v>0</v>
      </c>
      <c r="BP90" s="170">
        <f>+'Info recibida'!BQ90/550</f>
        <v>0</v>
      </c>
      <c r="BQ90" s="170">
        <f>+'Info recibida'!BR90/550</f>
        <v>0</v>
      </c>
      <c r="BR90" s="170">
        <f>+'Info recibida'!BS90/550</f>
        <v>0</v>
      </c>
      <c r="BS90" s="170">
        <f>+'Info recibida'!BT90/550</f>
        <v>0</v>
      </c>
      <c r="BT90" s="48"/>
      <c r="BU90" s="48"/>
      <c r="BV90" s="48"/>
      <c r="BW90" s="243"/>
      <c r="BX90" s="212">
        <f>+'Info recibida'!BY90/550</f>
        <v>10000</v>
      </c>
      <c r="BY90" s="170">
        <f>+'Info recibida'!BZ90/550</f>
        <v>10000</v>
      </c>
      <c r="BZ90" s="170">
        <f>+'Info recibida'!CA90/550</f>
        <v>10000</v>
      </c>
      <c r="CA90" s="170">
        <f>+'Info recibida'!CB90/550</f>
        <v>10000</v>
      </c>
      <c r="CB90" s="170">
        <f>+'Info recibida'!CC90/550</f>
        <v>10000</v>
      </c>
      <c r="CC90" s="170">
        <f>+'Info recibida'!CD90/550</f>
        <v>10000</v>
      </c>
      <c r="CD90" s="170">
        <f>+'Info recibida'!CE90/550</f>
        <v>10000</v>
      </c>
      <c r="CE90" s="170">
        <f>+'Info recibida'!CF90/550</f>
        <v>10000</v>
      </c>
      <c r="CF90" s="218">
        <f>+'Info recibida'!CG90/550</f>
        <v>10000</v>
      </c>
      <c r="CG90" s="213">
        <f t="shared" si="22"/>
        <v>90000</v>
      </c>
      <c r="CH90" s="217">
        <f>+'Info recibida'!CH90/550</f>
        <v>10000</v>
      </c>
      <c r="CI90" s="170">
        <f>+'Info recibida'!CI90/550</f>
        <v>10000</v>
      </c>
      <c r="CJ90" s="170">
        <f>+'Info recibida'!CJ90/550</f>
        <v>10000</v>
      </c>
      <c r="CK90" s="170">
        <f>+'Info recibida'!CK90/550</f>
        <v>10000</v>
      </c>
      <c r="CL90" s="170">
        <f>+'Info recibida'!CL90/550</f>
        <v>10000</v>
      </c>
      <c r="CM90" s="170">
        <f>+'Info recibida'!CM90/550</f>
        <v>10000</v>
      </c>
      <c r="CN90" s="170">
        <f>+'Info recibida'!CN90/550</f>
        <v>10000</v>
      </c>
      <c r="CO90" s="170">
        <f>+'Info recibida'!CO90/550</f>
        <v>10000</v>
      </c>
      <c r="CP90" s="170">
        <f>+'Info recibida'!CP90/550</f>
        <v>10000</v>
      </c>
      <c r="CQ90" s="213">
        <f>+'Info recibida'!CQ90/550</f>
        <v>90000</v>
      </c>
      <c r="CR90" s="70"/>
      <c r="CS90" s="220">
        <v>190000</v>
      </c>
      <c r="CT90" s="71" t="s">
        <v>347</v>
      </c>
      <c r="CU90" s="210"/>
      <c r="CV90" s="210"/>
      <c r="CW90" s="210"/>
      <c r="CX90" s="210"/>
      <c r="CY90" s="221">
        <f>+'Info recibida'!CY90/550</f>
        <v>-100000</v>
      </c>
      <c r="CZ90" s="222"/>
      <c r="DA90" s="517">
        <f t="shared" si="18"/>
        <v>1.8029317988814016E-2</v>
      </c>
    </row>
    <row r="91" spans="2:105" ht="26.1" customHeight="1" x14ac:dyDescent="0.25">
      <c r="B91" s="143" t="s">
        <v>89</v>
      </c>
      <c r="C91" s="144" t="s">
        <v>356</v>
      </c>
      <c r="D91" s="59" t="s">
        <v>2</v>
      </c>
      <c r="E91" s="145"/>
      <c r="F91" s="60"/>
      <c r="G91" s="61"/>
      <c r="H91" s="62"/>
      <c r="I91" s="62"/>
      <c r="J91" s="147" t="s">
        <v>259</v>
      </c>
      <c r="K91" s="148"/>
      <c r="L91" s="149"/>
      <c r="N91" s="143" t="s">
        <v>89</v>
      </c>
      <c r="O91" s="150"/>
      <c r="P91" s="145"/>
      <c r="Q91" s="145"/>
      <c r="R91" s="145"/>
      <c r="S91" s="145"/>
      <c r="T91" s="145"/>
      <c r="U91" s="145"/>
      <c r="V91" s="145"/>
      <c r="W91" s="145"/>
      <c r="X91" s="145"/>
      <c r="Y91" s="145"/>
      <c r="Z91" s="145"/>
      <c r="AA91" s="145"/>
      <c r="AB91" s="145"/>
      <c r="AC91" s="145"/>
      <c r="AD91" s="145"/>
      <c r="AE91" s="151"/>
      <c r="AF91" s="150"/>
      <c r="AG91" s="145"/>
      <c r="AH91" s="145"/>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254"/>
      <c r="BF91" s="150"/>
      <c r="BG91" s="154" t="s">
        <v>356</v>
      </c>
      <c r="BH91" s="155"/>
      <c r="BI91" s="487">
        <f>+'Info recibida'!BJ91/550</f>
        <v>0</v>
      </c>
      <c r="BJ91" s="152">
        <f>+'Info recibida'!BK91/550</f>
        <v>0</v>
      </c>
      <c r="BK91" s="152">
        <f>+'Info recibida'!BL91/550</f>
        <v>0</v>
      </c>
      <c r="BL91" s="152">
        <f>+'Info recibida'!BM91/550</f>
        <v>0</v>
      </c>
      <c r="BM91" s="152">
        <f>+'Info recibida'!BN91/550</f>
        <v>0</v>
      </c>
      <c r="BN91" s="152">
        <f>+'Info recibida'!BO91/550</f>
        <v>0</v>
      </c>
      <c r="BO91" s="152">
        <f>+'Info recibida'!BP91/550</f>
        <v>0</v>
      </c>
      <c r="BP91" s="152">
        <f>+'Info recibida'!BQ91/550</f>
        <v>0</v>
      </c>
      <c r="BQ91" s="152">
        <f>+'Info recibida'!BR91/550</f>
        <v>0</v>
      </c>
      <c r="BR91" s="152">
        <f>+'Info recibida'!BS91/550</f>
        <v>0</v>
      </c>
      <c r="BS91" s="152">
        <f>+'Info recibida'!BT91/550</f>
        <v>0</v>
      </c>
      <c r="BT91" s="145"/>
      <c r="BU91" s="145"/>
      <c r="BV91" s="145"/>
      <c r="BW91" s="159"/>
      <c r="BX91" s="157">
        <f>+'Info recibida'!BY91/550</f>
        <v>92600</v>
      </c>
      <c r="BY91" s="152">
        <f>+'Info recibida'!BZ91/550</f>
        <v>93952</v>
      </c>
      <c r="BZ91" s="152">
        <f>+'Info recibida'!CA91/550</f>
        <v>95331.04</v>
      </c>
      <c r="CA91" s="152">
        <f>+'Info recibida'!CB91/550</f>
        <v>96737.660799999998</v>
      </c>
      <c r="CB91" s="152">
        <f>+'Info recibida'!CC91/550</f>
        <v>98172.414015999995</v>
      </c>
      <c r="CC91" s="152">
        <f>+'Info recibida'!CD91/550</f>
        <v>99635.862296320003</v>
      </c>
      <c r="CD91" s="152">
        <f>+'Info recibida'!CE91/550</f>
        <v>101128.5795422464</v>
      </c>
      <c r="CE91" s="152">
        <f>+'Info recibida'!CF91/550</f>
        <v>102651.15113309133</v>
      </c>
      <c r="CF91" s="487">
        <f>+'Info recibida'!CG91/550</f>
        <v>104204.17415575316</v>
      </c>
      <c r="CG91" s="156">
        <f t="shared" si="22"/>
        <v>884412.88194341096</v>
      </c>
      <c r="CH91" s="157">
        <f>+'Info recibida'!CH91/550</f>
        <v>92600</v>
      </c>
      <c r="CI91" s="152">
        <f>+'Info recibida'!CI91/550</f>
        <v>93952</v>
      </c>
      <c r="CJ91" s="152">
        <f>+'Info recibida'!CJ91/550</f>
        <v>95331.04</v>
      </c>
      <c r="CK91" s="152">
        <f>+'Info recibida'!CK91/550</f>
        <v>96737.660799999998</v>
      </c>
      <c r="CL91" s="152">
        <f>+'Info recibida'!CL91/550</f>
        <v>98172.414015999995</v>
      </c>
      <c r="CM91" s="152">
        <f>+'Info recibida'!CM91/550</f>
        <v>99635.862296320003</v>
      </c>
      <c r="CN91" s="152">
        <f>+'Info recibida'!CN91/550</f>
        <v>101128.5795422464</v>
      </c>
      <c r="CO91" s="152">
        <f>+'Info recibida'!CO91/550</f>
        <v>102651.15113309133</v>
      </c>
      <c r="CP91" s="152">
        <f>+'Info recibida'!CP91/550</f>
        <v>104204.17415575316</v>
      </c>
      <c r="CQ91" s="156">
        <f>+'Info recibida'!CQ91/550</f>
        <v>884412.88194341096</v>
      </c>
      <c r="CR91" s="158"/>
      <c r="CS91" s="160">
        <f>SUM(CS92:CS94)</f>
        <v>238000</v>
      </c>
      <c r="CT91" s="145"/>
      <c r="CU91" s="145"/>
      <c r="CV91" s="145"/>
      <c r="CW91" s="145"/>
      <c r="CX91" s="145"/>
      <c r="CY91" s="152">
        <f>+'Info recibida'!CY91/550</f>
        <v>646412.88194341084</v>
      </c>
      <c r="CZ91" s="151"/>
      <c r="DA91" s="517"/>
    </row>
    <row r="92" spans="2:105" ht="26.1" customHeight="1" x14ac:dyDescent="0.25">
      <c r="B92" s="204" t="s">
        <v>90</v>
      </c>
      <c r="C92" s="205" t="s">
        <v>357</v>
      </c>
      <c r="D92" s="47" t="s">
        <v>2</v>
      </c>
      <c r="E92" s="48" t="s">
        <v>403</v>
      </c>
      <c r="F92" s="48" t="s">
        <v>393</v>
      </c>
      <c r="G92" s="48" t="s">
        <v>135</v>
      </c>
      <c r="H92" s="49"/>
      <c r="I92" s="49" t="s">
        <v>230</v>
      </c>
      <c r="J92" s="206"/>
      <c r="K92" s="207"/>
      <c r="L92" s="208"/>
      <c r="N92" s="204" t="s">
        <v>90</v>
      </c>
      <c r="O92" s="47" t="s">
        <v>81</v>
      </c>
      <c r="P92" s="48" t="s">
        <v>403</v>
      </c>
      <c r="Q92" s="48"/>
      <c r="R92" s="48" t="s">
        <v>314</v>
      </c>
      <c r="S92" s="48"/>
      <c r="T92" s="48" t="s">
        <v>307</v>
      </c>
      <c r="U92" s="48"/>
      <c r="V92" s="48"/>
      <c r="W92" s="48" t="s">
        <v>314</v>
      </c>
      <c r="X92" s="48"/>
      <c r="Y92" s="48"/>
      <c r="Z92" s="48" t="s">
        <v>314</v>
      </c>
      <c r="AA92" s="48" t="s">
        <v>314</v>
      </c>
      <c r="AB92" s="48"/>
      <c r="AC92" s="48"/>
      <c r="AD92" s="48" t="s">
        <v>314</v>
      </c>
      <c r="AE92" s="209"/>
      <c r="AF92" s="47" t="s">
        <v>315</v>
      </c>
      <c r="AG92" s="210" t="s">
        <v>319</v>
      </c>
      <c r="AH92" s="68" t="s">
        <v>348</v>
      </c>
      <c r="AI92" s="170"/>
      <c r="AJ92" s="170">
        <v>0</v>
      </c>
      <c r="AK92" s="170">
        <v>0</v>
      </c>
      <c r="AL92" s="170">
        <v>0</v>
      </c>
      <c r="AM92" s="170">
        <v>0</v>
      </c>
      <c r="AN92" s="170">
        <v>0</v>
      </c>
      <c r="AO92" s="170">
        <v>0</v>
      </c>
      <c r="AP92" s="170">
        <v>0</v>
      </c>
      <c r="AQ92" s="170">
        <v>0</v>
      </c>
      <c r="AR92" s="170">
        <v>0</v>
      </c>
      <c r="AS92" s="170"/>
      <c r="AT92" s="170"/>
      <c r="AU92" s="170">
        <v>0</v>
      </c>
      <c r="AV92" s="170">
        <v>1</v>
      </c>
      <c r="AW92" s="170">
        <v>0</v>
      </c>
      <c r="AX92" s="170">
        <v>1</v>
      </c>
      <c r="AY92" s="170">
        <v>0</v>
      </c>
      <c r="AZ92" s="170">
        <v>1</v>
      </c>
      <c r="BA92" s="170">
        <v>0</v>
      </c>
      <c r="BB92" s="170">
        <v>1</v>
      </c>
      <c r="BC92" s="170">
        <v>0</v>
      </c>
      <c r="BD92" s="170"/>
      <c r="BE92" s="260"/>
      <c r="BF92" s="206" t="s">
        <v>330</v>
      </c>
      <c r="BG92" s="68" t="s">
        <v>349</v>
      </c>
      <c r="BH92" s="48" t="s">
        <v>313</v>
      </c>
      <c r="BI92" s="211">
        <f>+'Info recibida'!BJ92/550</f>
        <v>0</v>
      </c>
      <c r="BJ92" s="170">
        <f>+'Info recibida'!BK92/550</f>
        <v>0</v>
      </c>
      <c r="BK92" s="170">
        <f>+'Info recibida'!BL92/550</f>
        <v>0</v>
      </c>
      <c r="BL92" s="170">
        <f>+'Info recibida'!BM92/550</f>
        <v>0</v>
      </c>
      <c r="BM92" s="170">
        <f>+'Info recibida'!BN92/550</f>
        <v>0</v>
      </c>
      <c r="BN92" s="170">
        <f>+'Info recibida'!BO92/550</f>
        <v>0</v>
      </c>
      <c r="BO92" s="170">
        <f>+'Info recibida'!BP92/550</f>
        <v>0</v>
      </c>
      <c r="BP92" s="170">
        <f>+'Info recibida'!BQ92/550</f>
        <v>0</v>
      </c>
      <c r="BQ92" s="170">
        <f>+'Info recibida'!BR92/550</f>
        <v>0</v>
      </c>
      <c r="BR92" s="170">
        <f>+'Info recibida'!BS92/550</f>
        <v>0</v>
      </c>
      <c r="BS92" s="170">
        <f>+'Info recibida'!BT92/550</f>
        <v>0</v>
      </c>
      <c r="BT92" s="48"/>
      <c r="BU92" s="48"/>
      <c r="BV92" s="48"/>
      <c r="BW92" s="243"/>
      <c r="BX92" s="212">
        <f>+'Info recibida'!BY92/550</f>
        <v>1000</v>
      </c>
      <c r="BY92" s="170">
        <f>+'Info recibida'!BZ92/550</f>
        <v>1000</v>
      </c>
      <c r="BZ92" s="170">
        <f>+'Info recibida'!CA92/550</f>
        <v>1000</v>
      </c>
      <c r="CA92" s="170">
        <f>+'Info recibida'!CB92/550</f>
        <v>1000</v>
      </c>
      <c r="CB92" s="170">
        <f>+'Info recibida'!CC92/550</f>
        <v>1000</v>
      </c>
      <c r="CC92" s="170">
        <f>+'Info recibida'!CD92/550</f>
        <v>1000</v>
      </c>
      <c r="CD92" s="170">
        <f>+'Info recibida'!CE92/550</f>
        <v>1000</v>
      </c>
      <c r="CE92" s="170">
        <f>+'Info recibida'!CF92/550</f>
        <v>1000</v>
      </c>
      <c r="CF92" s="218">
        <f>+'Info recibida'!CG92/550</f>
        <v>1000</v>
      </c>
      <c r="CG92" s="213">
        <f t="shared" ref="CG92:CG98" si="23">SUM(BX92:CF92)</f>
        <v>9000</v>
      </c>
      <c r="CH92" s="217">
        <f>+'Info recibida'!CH92/550</f>
        <v>1000</v>
      </c>
      <c r="CI92" s="170">
        <f>+'Info recibida'!CI92/550</f>
        <v>1000</v>
      </c>
      <c r="CJ92" s="170">
        <f>+'Info recibida'!CJ92/550</f>
        <v>1000</v>
      </c>
      <c r="CK92" s="170">
        <f>+'Info recibida'!CK92/550</f>
        <v>1000</v>
      </c>
      <c r="CL92" s="170">
        <f>+'Info recibida'!CL92/550</f>
        <v>1000</v>
      </c>
      <c r="CM92" s="170">
        <f>+'Info recibida'!CM92/550</f>
        <v>1000</v>
      </c>
      <c r="CN92" s="170">
        <f>+'Info recibida'!CN92/550</f>
        <v>1000</v>
      </c>
      <c r="CO92" s="170">
        <f>+'Info recibida'!CO92/550</f>
        <v>1000</v>
      </c>
      <c r="CP92" s="170">
        <f>+'Info recibida'!CP92/550</f>
        <v>1000</v>
      </c>
      <c r="CQ92" s="213">
        <f>+'Info recibida'!CQ92/550</f>
        <v>9000</v>
      </c>
      <c r="CR92" s="70"/>
      <c r="CS92" s="71"/>
      <c r="CT92" s="71"/>
      <c r="CU92" s="210"/>
      <c r="CV92" s="210"/>
      <c r="CW92" s="210"/>
      <c r="CX92" s="210"/>
      <c r="CY92" s="221">
        <f>+'Info recibida'!CY92/550</f>
        <v>9000</v>
      </c>
      <c r="CZ92" s="222"/>
      <c r="DA92" s="517">
        <f t="shared" si="18"/>
        <v>1.8029317988814018E-3</v>
      </c>
    </row>
    <row r="93" spans="2:105" ht="26.1" customHeight="1" x14ac:dyDescent="0.25">
      <c r="B93" s="204" t="s">
        <v>91</v>
      </c>
      <c r="C93" s="205" t="s">
        <v>356</v>
      </c>
      <c r="D93" s="47" t="s">
        <v>2</v>
      </c>
      <c r="E93" s="48" t="s">
        <v>403</v>
      </c>
      <c r="F93" s="48" t="s">
        <v>393</v>
      </c>
      <c r="G93" s="48" t="s">
        <v>136</v>
      </c>
      <c r="H93" s="49"/>
      <c r="I93" s="49" t="s">
        <v>234</v>
      </c>
      <c r="J93" s="206"/>
      <c r="K93" s="207"/>
      <c r="L93" s="208"/>
      <c r="N93" s="204" t="s">
        <v>91</v>
      </c>
      <c r="O93" s="47" t="s">
        <v>81</v>
      </c>
      <c r="P93" s="48" t="s">
        <v>403</v>
      </c>
      <c r="Q93" s="48"/>
      <c r="R93" s="48" t="s">
        <v>314</v>
      </c>
      <c r="S93" s="48"/>
      <c r="T93" s="48" t="s">
        <v>307</v>
      </c>
      <c r="U93" s="48"/>
      <c r="V93" s="48"/>
      <c r="W93" s="48" t="s">
        <v>314</v>
      </c>
      <c r="X93" s="48"/>
      <c r="Y93" s="48"/>
      <c r="Z93" s="48"/>
      <c r="AA93" s="48"/>
      <c r="AB93" s="48"/>
      <c r="AC93" s="48"/>
      <c r="AD93" s="48"/>
      <c r="AE93" s="209"/>
      <c r="AF93" s="47" t="s">
        <v>315</v>
      </c>
      <c r="AG93" s="210" t="s">
        <v>319</v>
      </c>
      <c r="AH93" s="68" t="s">
        <v>350</v>
      </c>
      <c r="AI93" s="170"/>
      <c r="AJ93" s="170">
        <v>0</v>
      </c>
      <c r="AK93" s="170">
        <v>0</v>
      </c>
      <c r="AL93" s="170">
        <v>0</v>
      </c>
      <c r="AM93" s="170">
        <v>0</v>
      </c>
      <c r="AN93" s="170">
        <v>0</v>
      </c>
      <c r="AO93" s="170">
        <v>0</v>
      </c>
      <c r="AP93" s="170">
        <v>0</v>
      </c>
      <c r="AQ93" s="170">
        <v>0</v>
      </c>
      <c r="AR93" s="170">
        <v>0</v>
      </c>
      <c r="AS93" s="170"/>
      <c r="AT93" s="170"/>
      <c r="AU93" s="170">
        <v>1</v>
      </c>
      <c r="AV93" s="170">
        <v>1</v>
      </c>
      <c r="AW93" s="170">
        <v>1</v>
      </c>
      <c r="AX93" s="170">
        <v>1</v>
      </c>
      <c r="AY93" s="170">
        <v>1</v>
      </c>
      <c r="AZ93" s="170">
        <v>1</v>
      </c>
      <c r="BA93" s="170">
        <v>1</v>
      </c>
      <c r="BB93" s="170">
        <v>1</v>
      </c>
      <c r="BC93" s="170">
        <v>1</v>
      </c>
      <c r="BD93" s="170"/>
      <c r="BE93" s="260"/>
      <c r="BF93" s="206" t="s">
        <v>330</v>
      </c>
      <c r="BG93" s="68" t="s">
        <v>321</v>
      </c>
      <c r="BH93" s="48" t="s">
        <v>323</v>
      </c>
      <c r="BI93" s="211">
        <f>+'Info recibida'!BJ93/550</f>
        <v>0</v>
      </c>
      <c r="BJ93" s="170">
        <f>+'Info recibida'!BK93/550</f>
        <v>0</v>
      </c>
      <c r="BK93" s="170">
        <f>+'Info recibida'!BL93/550</f>
        <v>0</v>
      </c>
      <c r="BL93" s="170">
        <f>+'Info recibida'!BM93/550</f>
        <v>0</v>
      </c>
      <c r="BM93" s="170">
        <f>+'Info recibida'!BN93/550</f>
        <v>0</v>
      </c>
      <c r="BN93" s="170">
        <f>+'Info recibida'!BO93/550</f>
        <v>0</v>
      </c>
      <c r="BO93" s="170">
        <f>+'Info recibida'!BP93/550</f>
        <v>0</v>
      </c>
      <c r="BP93" s="170">
        <f>+'Info recibida'!BQ93/550</f>
        <v>0</v>
      </c>
      <c r="BQ93" s="170">
        <f>+'Info recibida'!BR93/550</f>
        <v>0</v>
      </c>
      <c r="BR93" s="170">
        <f>+'Info recibida'!BS93/550</f>
        <v>0</v>
      </c>
      <c r="BS93" s="170">
        <f>+'Info recibida'!BT93/550</f>
        <v>0</v>
      </c>
      <c r="BT93" s="48"/>
      <c r="BU93" s="48"/>
      <c r="BV93" s="48"/>
      <c r="BW93" s="243"/>
      <c r="BX93" s="212">
        <f>+'Info recibida'!BY93/550</f>
        <v>67600</v>
      </c>
      <c r="BY93" s="170">
        <f>+'Info recibida'!BZ93/550</f>
        <v>68952</v>
      </c>
      <c r="BZ93" s="170">
        <f>+'Info recibida'!CA93/550</f>
        <v>70331.039999999994</v>
      </c>
      <c r="CA93" s="170">
        <f>+'Info recibida'!CB93/550</f>
        <v>71737.660799999998</v>
      </c>
      <c r="CB93" s="170">
        <f>+'Info recibida'!CC93/550</f>
        <v>73172.414015999995</v>
      </c>
      <c r="CC93" s="170">
        <f>+'Info recibida'!CD93/550</f>
        <v>74635.862296320003</v>
      </c>
      <c r="CD93" s="170">
        <f>+'Info recibida'!CE93/550</f>
        <v>76128.5795422464</v>
      </c>
      <c r="CE93" s="170">
        <f>+'Info recibida'!CF93/550</f>
        <v>77651.151133091334</v>
      </c>
      <c r="CF93" s="218">
        <f>+'Info recibida'!CG93/550</f>
        <v>79204.174155753164</v>
      </c>
      <c r="CG93" s="213">
        <f t="shared" si="23"/>
        <v>659412.88194341096</v>
      </c>
      <c r="CH93" s="217">
        <f>+'Info recibida'!CH93/550</f>
        <v>67600</v>
      </c>
      <c r="CI93" s="170">
        <f>+'Info recibida'!CI93/550</f>
        <v>68952</v>
      </c>
      <c r="CJ93" s="170">
        <f>+'Info recibida'!CJ93/550</f>
        <v>70331.039999999994</v>
      </c>
      <c r="CK93" s="170">
        <f>+'Info recibida'!CK93/550</f>
        <v>71737.660799999998</v>
      </c>
      <c r="CL93" s="170">
        <f>+'Info recibida'!CL93/550</f>
        <v>73172.414015999995</v>
      </c>
      <c r="CM93" s="170">
        <f>+'Info recibida'!CM93/550</f>
        <v>74635.862296320003</v>
      </c>
      <c r="CN93" s="170">
        <f>+'Info recibida'!CN93/550</f>
        <v>76128.5795422464</v>
      </c>
      <c r="CO93" s="170">
        <f>+'Info recibida'!CO93/550</f>
        <v>77651.151133091334</v>
      </c>
      <c r="CP93" s="170">
        <f>+'Info recibida'!CP93/550</f>
        <v>79204.174155753164</v>
      </c>
      <c r="CQ93" s="213">
        <f>+'Info recibida'!CQ93/550</f>
        <v>659412.88194341084</v>
      </c>
      <c r="CR93" s="70"/>
      <c r="CS93" s="71"/>
      <c r="CT93" s="71"/>
      <c r="CU93" s="210"/>
      <c r="CV93" s="210"/>
      <c r="CW93" s="210"/>
      <c r="CX93" s="210"/>
      <c r="CY93" s="221">
        <f>+'Info recibida'!CY93/550</f>
        <v>659412.88194341084</v>
      </c>
      <c r="CZ93" s="222"/>
      <c r="DA93" s="517">
        <f t="shared" si="18"/>
        <v>0.13209738371642257</v>
      </c>
    </row>
    <row r="94" spans="2:105" ht="26.1" customHeight="1" x14ac:dyDescent="0.25">
      <c r="B94" s="204" t="s">
        <v>92</v>
      </c>
      <c r="C94" s="205" t="s">
        <v>356</v>
      </c>
      <c r="D94" s="47" t="s">
        <v>2</v>
      </c>
      <c r="E94" s="48" t="s">
        <v>403</v>
      </c>
      <c r="F94" s="48" t="s">
        <v>393</v>
      </c>
      <c r="G94" s="48" t="s">
        <v>137</v>
      </c>
      <c r="H94" s="49"/>
      <c r="I94" s="49" t="s">
        <v>229</v>
      </c>
      <c r="J94" s="206"/>
      <c r="K94" s="207"/>
      <c r="L94" s="208"/>
      <c r="N94" s="204" t="s">
        <v>466</v>
      </c>
      <c r="O94" s="47" t="s">
        <v>81</v>
      </c>
      <c r="P94" s="48" t="s">
        <v>403</v>
      </c>
      <c r="Q94" s="48" t="s">
        <v>314</v>
      </c>
      <c r="R94" s="48" t="s">
        <v>314</v>
      </c>
      <c r="S94" s="48"/>
      <c r="T94" s="48" t="s">
        <v>307</v>
      </c>
      <c r="U94" s="48" t="s">
        <v>314</v>
      </c>
      <c r="V94" s="48"/>
      <c r="W94" s="48" t="s">
        <v>314</v>
      </c>
      <c r="X94" s="48"/>
      <c r="Y94" s="48"/>
      <c r="Z94" s="48" t="s">
        <v>314</v>
      </c>
      <c r="AA94" s="48"/>
      <c r="AB94" s="48" t="s">
        <v>314</v>
      </c>
      <c r="AC94" s="48" t="s">
        <v>314</v>
      </c>
      <c r="AD94" s="48" t="s">
        <v>314</v>
      </c>
      <c r="AE94" s="209"/>
      <c r="AF94" s="47" t="s">
        <v>315</v>
      </c>
      <c r="AG94" s="210" t="s">
        <v>319</v>
      </c>
      <c r="AH94" s="68" t="s">
        <v>467</v>
      </c>
      <c r="AI94" s="170"/>
      <c r="AJ94" s="170">
        <v>0</v>
      </c>
      <c r="AK94" s="170">
        <v>0</v>
      </c>
      <c r="AL94" s="170">
        <v>0</v>
      </c>
      <c r="AM94" s="170">
        <v>0</v>
      </c>
      <c r="AN94" s="170">
        <v>0</v>
      </c>
      <c r="AO94" s="170">
        <v>0</v>
      </c>
      <c r="AP94" s="170">
        <v>0</v>
      </c>
      <c r="AQ94" s="170">
        <v>0</v>
      </c>
      <c r="AR94" s="170">
        <v>0</v>
      </c>
      <c r="AS94" s="170"/>
      <c r="AT94" s="170"/>
      <c r="AU94" s="170">
        <v>1</v>
      </c>
      <c r="AV94" s="170">
        <v>1</v>
      </c>
      <c r="AW94" s="170">
        <v>1</v>
      </c>
      <c r="AX94" s="170">
        <v>1</v>
      </c>
      <c r="AY94" s="170">
        <v>1</v>
      </c>
      <c r="AZ94" s="170">
        <v>1</v>
      </c>
      <c r="BA94" s="170">
        <v>1</v>
      </c>
      <c r="BB94" s="170">
        <v>1</v>
      </c>
      <c r="BC94" s="170">
        <v>1</v>
      </c>
      <c r="BD94" s="170"/>
      <c r="BE94" s="260"/>
      <c r="BF94" s="206" t="s">
        <v>330</v>
      </c>
      <c r="BG94" s="68" t="s">
        <v>321</v>
      </c>
      <c r="BH94" s="48" t="s">
        <v>323</v>
      </c>
      <c r="BI94" s="211">
        <f>+'Info recibida'!BJ94/550</f>
        <v>0</v>
      </c>
      <c r="BJ94" s="170">
        <f>+'Info recibida'!BK94/550</f>
        <v>0</v>
      </c>
      <c r="BK94" s="170">
        <f>+'Info recibida'!BL94/550</f>
        <v>0</v>
      </c>
      <c r="BL94" s="170">
        <f>+'Info recibida'!BM94/550</f>
        <v>0</v>
      </c>
      <c r="BM94" s="170">
        <f>+'Info recibida'!BN94/550</f>
        <v>0</v>
      </c>
      <c r="BN94" s="170">
        <f>+'Info recibida'!BO94/550</f>
        <v>0</v>
      </c>
      <c r="BO94" s="170">
        <f>+'Info recibida'!BP94/550</f>
        <v>0</v>
      </c>
      <c r="BP94" s="170">
        <f>+'Info recibida'!BQ94/550</f>
        <v>0</v>
      </c>
      <c r="BQ94" s="170">
        <f>+'Info recibida'!BR94/550</f>
        <v>0</v>
      </c>
      <c r="BR94" s="170">
        <f>+'Info recibida'!BS94/550</f>
        <v>0</v>
      </c>
      <c r="BS94" s="170">
        <f>+'Info recibida'!BT94/550</f>
        <v>0</v>
      </c>
      <c r="BT94" s="48"/>
      <c r="BU94" s="48"/>
      <c r="BV94" s="48"/>
      <c r="BW94" s="243"/>
      <c r="BX94" s="212">
        <f>+'Info recibida'!BY94/550</f>
        <v>24000</v>
      </c>
      <c r="BY94" s="170">
        <f>+'Info recibida'!BZ94/550</f>
        <v>24000</v>
      </c>
      <c r="BZ94" s="170">
        <f>+'Info recibida'!CA94/550</f>
        <v>24000</v>
      </c>
      <c r="CA94" s="170">
        <f>+'Info recibida'!CB94/550</f>
        <v>24000</v>
      </c>
      <c r="CB94" s="170">
        <f>+'Info recibida'!CC94/550</f>
        <v>24000</v>
      </c>
      <c r="CC94" s="170">
        <f>+'Info recibida'!CD94/550</f>
        <v>24000</v>
      </c>
      <c r="CD94" s="170">
        <f>+'Info recibida'!CE94/550</f>
        <v>24000</v>
      </c>
      <c r="CE94" s="170">
        <f>+'Info recibida'!CF94/550</f>
        <v>24000</v>
      </c>
      <c r="CF94" s="218">
        <f>+'Info recibida'!CG94/550</f>
        <v>24000</v>
      </c>
      <c r="CG94" s="213">
        <f t="shared" si="23"/>
        <v>216000</v>
      </c>
      <c r="CH94" s="217">
        <f>+'Info recibida'!CH94/550</f>
        <v>24000</v>
      </c>
      <c r="CI94" s="170">
        <f>+'Info recibida'!CI94/550</f>
        <v>24000</v>
      </c>
      <c r="CJ94" s="170">
        <f>+'Info recibida'!CJ94/550</f>
        <v>24000</v>
      </c>
      <c r="CK94" s="170">
        <f>+'Info recibida'!CK94/550</f>
        <v>24000</v>
      </c>
      <c r="CL94" s="170">
        <f>+'Info recibida'!CL94/550</f>
        <v>24000</v>
      </c>
      <c r="CM94" s="170">
        <f>+'Info recibida'!CM94/550</f>
        <v>24000</v>
      </c>
      <c r="CN94" s="170">
        <f>+'Info recibida'!CN94/550</f>
        <v>24000</v>
      </c>
      <c r="CO94" s="170">
        <f>+'Info recibida'!CO94/550</f>
        <v>24000</v>
      </c>
      <c r="CP94" s="170">
        <f>+'Info recibida'!CP94/550</f>
        <v>24000</v>
      </c>
      <c r="CQ94" s="213">
        <f>+'Info recibida'!CQ94/550</f>
        <v>216000</v>
      </c>
      <c r="CR94" s="70"/>
      <c r="CS94" s="220">
        <f>178000+60000</f>
        <v>238000</v>
      </c>
      <c r="CT94" s="71" t="s">
        <v>351</v>
      </c>
      <c r="CU94" s="210"/>
      <c r="CV94" s="210"/>
      <c r="CW94" s="210"/>
      <c r="CX94" s="210"/>
      <c r="CY94" s="221">
        <f>+'Info recibida'!CY94/550</f>
        <v>-22000</v>
      </c>
      <c r="CZ94" s="222"/>
      <c r="DA94" s="517">
        <f t="shared" si="18"/>
        <v>4.3270363173153643E-2</v>
      </c>
    </row>
    <row r="95" spans="2:105" ht="26.1" customHeight="1" x14ac:dyDescent="0.25">
      <c r="B95" s="143" t="s">
        <v>93</v>
      </c>
      <c r="C95" s="144" t="s">
        <v>356</v>
      </c>
      <c r="D95" s="59" t="s">
        <v>2</v>
      </c>
      <c r="E95" s="145"/>
      <c r="F95" s="60"/>
      <c r="G95" s="61"/>
      <c r="H95" s="62"/>
      <c r="I95" s="62"/>
      <c r="J95" s="147" t="s">
        <v>259</v>
      </c>
      <c r="K95" s="148"/>
      <c r="L95" s="149"/>
      <c r="N95" s="143" t="s">
        <v>93</v>
      </c>
      <c r="O95" s="150"/>
      <c r="P95" s="145"/>
      <c r="Q95" s="145"/>
      <c r="R95" s="145"/>
      <c r="S95" s="145"/>
      <c r="T95" s="145"/>
      <c r="U95" s="145"/>
      <c r="V95" s="145"/>
      <c r="W95" s="145"/>
      <c r="X95" s="145"/>
      <c r="Y95" s="145"/>
      <c r="Z95" s="145"/>
      <c r="AA95" s="145"/>
      <c r="AB95" s="145"/>
      <c r="AC95" s="145"/>
      <c r="AD95" s="145"/>
      <c r="AE95" s="151"/>
      <c r="AF95" s="150"/>
      <c r="AG95" s="145"/>
      <c r="AH95" s="145"/>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254"/>
      <c r="BF95" s="150"/>
      <c r="BG95" s="154" t="s">
        <v>356</v>
      </c>
      <c r="BH95" s="155"/>
      <c r="BI95" s="487">
        <f>+'Info recibida'!BJ95/550</f>
        <v>50000</v>
      </c>
      <c r="BJ95" s="152">
        <f>+'Info recibida'!BK95/550</f>
        <v>0</v>
      </c>
      <c r="BK95" s="152">
        <f>+'Info recibida'!BL95/550</f>
        <v>0</v>
      </c>
      <c r="BL95" s="152">
        <f>+'Info recibida'!BM95/550</f>
        <v>0</v>
      </c>
      <c r="BM95" s="152">
        <f>+'Info recibida'!BN95/550</f>
        <v>0</v>
      </c>
      <c r="BN95" s="152">
        <f>+'Info recibida'!BO95/550</f>
        <v>0</v>
      </c>
      <c r="BO95" s="152">
        <f>+'Info recibida'!BP95/550</f>
        <v>0</v>
      </c>
      <c r="BP95" s="152">
        <f>+'Info recibida'!BQ95/550</f>
        <v>0</v>
      </c>
      <c r="BQ95" s="152">
        <f>+'Info recibida'!BR95/550</f>
        <v>0</v>
      </c>
      <c r="BR95" s="152">
        <f>+'Info recibida'!BS95/550</f>
        <v>0</v>
      </c>
      <c r="BS95" s="152">
        <f>+'Info recibida'!BT95/550</f>
        <v>0</v>
      </c>
      <c r="BT95" s="145"/>
      <c r="BU95" s="145"/>
      <c r="BV95" s="145"/>
      <c r="BW95" s="159"/>
      <c r="BX95" s="157">
        <f>+'Info recibida'!BY95/550</f>
        <v>65000</v>
      </c>
      <c r="BY95" s="152">
        <f>+'Info recibida'!BZ95/550</f>
        <v>0</v>
      </c>
      <c r="BZ95" s="152">
        <f>+'Info recibida'!CA95/550</f>
        <v>45000</v>
      </c>
      <c r="CA95" s="152">
        <f>+'Info recibida'!CB95/550</f>
        <v>0</v>
      </c>
      <c r="CB95" s="152">
        <f>+'Info recibida'!CC95/550</f>
        <v>45000</v>
      </c>
      <c r="CC95" s="152">
        <f>+'Info recibida'!CD95/550</f>
        <v>0</v>
      </c>
      <c r="CD95" s="152">
        <f>+'Info recibida'!CE95/550</f>
        <v>0</v>
      </c>
      <c r="CE95" s="152">
        <f>+'Info recibida'!CF95/550</f>
        <v>0</v>
      </c>
      <c r="CF95" s="487">
        <f>+'Info recibida'!CG95/550</f>
        <v>0</v>
      </c>
      <c r="CG95" s="156">
        <f t="shared" si="23"/>
        <v>155000</v>
      </c>
      <c r="CH95" s="157">
        <f>+'Info recibida'!CH95/550</f>
        <v>65000</v>
      </c>
      <c r="CI95" s="152">
        <f>+'Info recibida'!CI95/550</f>
        <v>0</v>
      </c>
      <c r="CJ95" s="152">
        <f>+'Info recibida'!CJ95/550</f>
        <v>45000</v>
      </c>
      <c r="CK95" s="152">
        <f>+'Info recibida'!CK95/550</f>
        <v>0</v>
      </c>
      <c r="CL95" s="152">
        <f>+'Info recibida'!CL95/550</f>
        <v>45000</v>
      </c>
      <c r="CM95" s="152">
        <f>+'Info recibida'!CM95/550</f>
        <v>0</v>
      </c>
      <c r="CN95" s="152">
        <f>+'Info recibida'!CN95/550</f>
        <v>0</v>
      </c>
      <c r="CO95" s="152">
        <f>+'Info recibida'!CO95/550</f>
        <v>0</v>
      </c>
      <c r="CP95" s="152">
        <f>+'Info recibida'!CP95/550</f>
        <v>0</v>
      </c>
      <c r="CQ95" s="156">
        <f>+'Info recibida'!CQ95/550</f>
        <v>155000</v>
      </c>
      <c r="CR95" s="158"/>
      <c r="CS95" s="160">
        <f>SUM(CS96)</f>
        <v>0</v>
      </c>
      <c r="CT95" s="145"/>
      <c r="CU95" s="145"/>
      <c r="CV95" s="145"/>
      <c r="CW95" s="145"/>
      <c r="CX95" s="145"/>
      <c r="CY95" s="161">
        <f>+'Info recibida'!CY95/550</f>
        <v>155000</v>
      </c>
      <c r="CZ95" s="151"/>
      <c r="DA95" s="517"/>
    </row>
    <row r="96" spans="2:105" ht="26.1" customHeight="1" x14ac:dyDescent="0.25">
      <c r="B96" s="204" t="s">
        <v>94</v>
      </c>
      <c r="C96" s="205" t="s">
        <v>356</v>
      </c>
      <c r="D96" s="47" t="s">
        <v>2</v>
      </c>
      <c r="E96" s="48" t="s">
        <v>403</v>
      </c>
      <c r="F96" s="48" t="s">
        <v>393</v>
      </c>
      <c r="G96" s="48" t="s">
        <v>138</v>
      </c>
      <c r="H96" s="49" t="s">
        <v>245</v>
      </c>
      <c r="I96" s="49" t="s">
        <v>230</v>
      </c>
      <c r="J96" s="206"/>
      <c r="K96" s="207"/>
      <c r="L96" s="208"/>
      <c r="N96" s="204" t="s">
        <v>94</v>
      </c>
      <c r="O96" s="47" t="s">
        <v>3</v>
      </c>
      <c r="P96" s="48" t="s">
        <v>403</v>
      </c>
      <c r="Q96" s="48"/>
      <c r="R96" s="48" t="s">
        <v>314</v>
      </c>
      <c r="S96" s="48" t="s">
        <v>314</v>
      </c>
      <c r="T96" s="48" t="s">
        <v>307</v>
      </c>
      <c r="U96" s="48"/>
      <c r="V96" s="48"/>
      <c r="W96" s="48" t="s">
        <v>314</v>
      </c>
      <c r="X96" s="48"/>
      <c r="Y96" s="48"/>
      <c r="Z96" s="48"/>
      <c r="AA96" s="48"/>
      <c r="AB96" s="48" t="s">
        <v>314</v>
      </c>
      <c r="AC96" s="48"/>
      <c r="AD96" s="48"/>
      <c r="AE96" s="209"/>
      <c r="AF96" s="47" t="s">
        <v>315</v>
      </c>
      <c r="AG96" s="210" t="s">
        <v>319</v>
      </c>
      <c r="AH96" s="68" t="s">
        <v>352</v>
      </c>
      <c r="AI96" s="170">
        <v>1</v>
      </c>
      <c r="AJ96" s="170">
        <v>0</v>
      </c>
      <c r="AK96" s="170">
        <v>0</v>
      </c>
      <c r="AL96" s="170">
        <v>0</v>
      </c>
      <c r="AM96" s="170">
        <v>0</v>
      </c>
      <c r="AN96" s="170">
        <v>0</v>
      </c>
      <c r="AO96" s="170">
        <v>0</v>
      </c>
      <c r="AP96" s="170">
        <v>0</v>
      </c>
      <c r="AQ96" s="170">
        <v>0</v>
      </c>
      <c r="AR96" s="170">
        <v>0</v>
      </c>
      <c r="AS96" s="170"/>
      <c r="AT96" s="170"/>
      <c r="AU96" s="170">
        <v>1</v>
      </c>
      <c r="AV96" s="170">
        <v>0</v>
      </c>
      <c r="AW96" s="170">
        <v>0</v>
      </c>
      <c r="AX96" s="170">
        <v>0</v>
      </c>
      <c r="AY96" s="170">
        <v>0</v>
      </c>
      <c r="AZ96" s="170">
        <v>0</v>
      </c>
      <c r="BA96" s="170">
        <v>0</v>
      </c>
      <c r="BB96" s="170">
        <v>0</v>
      </c>
      <c r="BC96" s="170">
        <v>0</v>
      </c>
      <c r="BD96" s="170"/>
      <c r="BE96" s="260"/>
      <c r="BF96" s="206" t="s">
        <v>334</v>
      </c>
      <c r="BG96" s="68" t="s">
        <v>321</v>
      </c>
      <c r="BH96" s="48" t="s">
        <v>313</v>
      </c>
      <c r="BI96" s="252">
        <f>+'Info recibida'!BJ96/550</f>
        <v>50000</v>
      </c>
      <c r="BJ96" s="170">
        <f>+'Info recibida'!BK96/550</f>
        <v>0</v>
      </c>
      <c r="BK96" s="170">
        <f>+'Info recibida'!BL96/550</f>
        <v>0</v>
      </c>
      <c r="BL96" s="170">
        <f>+'Info recibida'!BM96/550</f>
        <v>0</v>
      </c>
      <c r="BM96" s="170">
        <f>+'Info recibida'!BN96/550</f>
        <v>0</v>
      </c>
      <c r="BN96" s="170">
        <f>+'Info recibida'!BO96/550</f>
        <v>0</v>
      </c>
      <c r="BO96" s="170">
        <f>+'Info recibida'!BP96/550</f>
        <v>0</v>
      </c>
      <c r="BP96" s="170">
        <f>+'Info recibida'!BQ96/550</f>
        <v>0</v>
      </c>
      <c r="BQ96" s="170">
        <f>+'Info recibida'!BR96/550</f>
        <v>0</v>
      </c>
      <c r="BR96" s="170">
        <f>+'Info recibida'!BS96/550</f>
        <v>0</v>
      </c>
      <c r="BS96" s="170">
        <f>+'Info recibida'!BT96/550</f>
        <v>0</v>
      </c>
      <c r="BT96" s="48"/>
      <c r="BU96" s="48"/>
      <c r="BV96" s="48"/>
      <c r="BW96" s="243"/>
      <c r="BX96" s="212">
        <f>+'Info recibida'!BY96/550</f>
        <v>65000</v>
      </c>
      <c r="BY96" s="170">
        <f>+'Info recibida'!BZ96/550</f>
        <v>0</v>
      </c>
      <c r="BZ96" s="170">
        <f>+'Info recibida'!CA96/550</f>
        <v>45000</v>
      </c>
      <c r="CA96" s="170">
        <f>+'Info recibida'!CB96/550</f>
        <v>0</v>
      </c>
      <c r="CB96" s="170">
        <f>+'Info recibida'!CC96/550</f>
        <v>45000</v>
      </c>
      <c r="CC96" s="170">
        <f>+'Info recibida'!CD96/550</f>
        <v>0</v>
      </c>
      <c r="CD96" s="170">
        <f>+'Info recibida'!CE96/550</f>
        <v>0</v>
      </c>
      <c r="CE96" s="170">
        <f>+'Info recibida'!CF96/550</f>
        <v>0</v>
      </c>
      <c r="CF96" s="218">
        <f>+'Info recibida'!CG96/550</f>
        <v>0</v>
      </c>
      <c r="CG96" s="213">
        <f t="shared" si="23"/>
        <v>155000</v>
      </c>
      <c r="CH96" s="217">
        <f>+'Info recibida'!CH96/550</f>
        <v>65000</v>
      </c>
      <c r="CI96" s="170">
        <f>+'Info recibida'!CI96/550</f>
        <v>0</v>
      </c>
      <c r="CJ96" s="170">
        <f>+'Info recibida'!CJ96/550</f>
        <v>45000</v>
      </c>
      <c r="CK96" s="170">
        <f>+'Info recibida'!CK96/550</f>
        <v>0</v>
      </c>
      <c r="CL96" s="170">
        <f>+'Info recibida'!CL96/550</f>
        <v>45000</v>
      </c>
      <c r="CM96" s="170">
        <f>+'Info recibida'!CM96/550</f>
        <v>0</v>
      </c>
      <c r="CN96" s="170">
        <f>+'Info recibida'!CN96/550</f>
        <v>0</v>
      </c>
      <c r="CO96" s="170">
        <f>+'Info recibida'!CO96/550</f>
        <v>0</v>
      </c>
      <c r="CP96" s="170">
        <f>+'Info recibida'!CP96/550</f>
        <v>0</v>
      </c>
      <c r="CQ96" s="213">
        <f>+'Info recibida'!CQ96/550</f>
        <v>155000</v>
      </c>
      <c r="CR96" s="70"/>
      <c r="CS96" s="76"/>
      <c r="CT96" s="76"/>
      <c r="CU96" s="210"/>
      <c r="CV96" s="210"/>
      <c r="CW96" s="210"/>
      <c r="CX96" s="210"/>
      <c r="CY96" s="221">
        <f>+'Info recibida'!CY96/550</f>
        <v>155000</v>
      </c>
      <c r="CZ96" s="222"/>
      <c r="DA96" s="517">
        <f t="shared" si="18"/>
        <v>3.1050492091846363E-2</v>
      </c>
    </row>
    <row r="97" spans="2:105" ht="26.1" customHeight="1" x14ac:dyDescent="0.25">
      <c r="B97" s="143" t="s">
        <v>95</v>
      </c>
      <c r="C97" s="144" t="s">
        <v>355</v>
      </c>
      <c r="D97" s="59" t="s">
        <v>2</v>
      </c>
      <c r="E97" s="145"/>
      <c r="F97" s="60"/>
      <c r="G97" s="61"/>
      <c r="H97" s="62"/>
      <c r="I97" s="62"/>
      <c r="J97" s="147" t="s">
        <v>259</v>
      </c>
      <c r="K97" s="148"/>
      <c r="L97" s="149"/>
      <c r="N97" s="143" t="s">
        <v>95</v>
      </c>
      <c r="O97" s="150"/>
      <c r="P97" s="145"/>
      <c r="Q97" s="145"/>
      <c r="R97" s="145"/>
      <c r="S97" s="145"/>
      <c r="T97" s="145"/>
      <c r="U97" s="145"/>
      <c r="V97" s="145"/>
      <c r="W97" s="145"/>
      <c r="X97" s="145"/>
      <c r="Y97" s="145"/>
      <c r="Z97" s="145"/>
      <c r="AA97" s="145"/>
      <c r="AB97" s="145"/>
      <c r="AC97" s="145"/>
      <c r="AD97" s="145"/>
      <c r="AE97" s="151"/>
      <c r="AF97" s="150"/>
      <c r="AG97" s="145"/>
      <c r="AH97" s="145"/>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254"/>
      <c r="BF97" s="150"/>
      <c r="BG97" s="154" t="s">
        <v>355</v>
      </c>
      <c r="BH97" s="155"/>
      <c r="BI97" s="487">
        <f>+'Info recibida'!BJ97/550</f>
        <v>0</v>
      </c>
      <c r="BJ97" s="152">
        <f>+'Info recibida'!BK97/550</f>
        <v>0</v>
      </c>
      <c r="BK97" s="152">
        <f>+'Info recibida'!BL97/550</f>
        <v>0</v>
      </c>
      <c r="BL97" s="152">
        <f>+'Info recibida'!BM97/550</f>
        <v>0</v>
      </c>
      <c r="BM97" s="152">
        <f>+'Info recibida'!BN97/550</f>
        <v>0</v>
      </c>
      <c r="BN97" s="152">
        <f>+'Info recibida'!BO97/550</f>
        <v>0</v>
      </c>
      <c r="BO97" s="152">
        <f>+'Info recibida'!BP97/550</f>
        <v>0</v>
      </c>
      <c r="BP97" s="152">
        <f>+'Info recibida'!BQ97/550</f>
        <v>0</v>
      </c>
      <c r="BQ97" s="152">
        <f>+'Info recibida'!BR97/550</f>
        <v>0</v>
      </c>
      <c r="BR97" s="152">
        <f>+'Info recibida'!BS97/550</f>
        <v>0</v>
      </c>
      <c r="BS97" s="152">
        <f>+'Info recibida'!BT97/550</f>
        <v>0</v>
      </c>
      <c r="BT97" s="145"/>
      <c r="BU97" s="145"/>
      <c r="BV97" s="145"/>
      <c r="BW97" s="159"/>
      <c r="BX97" s="157">
        <f>+'Info recibida'!BY97/550</f>
        <v>37500</v>
      </c>
      <c r="BY97" s="152">
        <f>+'Info recibida'!BZ97/550</f>
        <v>0</v>
      </c>
      <c r="BZ97" s="152">
        <f>+'Info recibida'!CA97/550</f>
        <v>0</v>
      </c>
      <c r="CA97" s="152">
        <f>+'Info recibida'!CB97/550</f>
        <v>0</v>
      </c>
      <c r="CB97" s="152">
        <f>+'Info recibida'!CC97/550</f>
        <v>0</v>
      </c>
      <c r="CC97" s="152">
        <f>+'Info recibida'!CD97/550</f>
        <v>0</v>
      </c>
      <c r="CD97" s="152">
        <f>+'Info recibida'!CE97/550</f>
        <v>0</v>
      </c>
      <c r="CE97" s="152">
        <f>+'Info recibida'!CF97/550</f>
        <v>0</v>
      </c>
      <c r="CF97" s="487">
        <f>+'Info recibida'!CG97/550</f>
        <v>0</v>
      </c>
      <c r="CG97" s="156">
        <f t="shared" si="23"/>
        <v>37500</v>
      </c>
      <c r="CH97" s="157">
        <f>+'Info recibida'!CH97/550</f>
        <v>37500</v>
      </c>
      <c r="CI97" s="152">
        <f>+'Info recibida'!CI97/550</f>
        <v>0</v>
      </c>
      <c r="CJ97" s="152">
        <f>+'Info recibida'!CJ97/550</f>
        <v>0</v>
      </c>
      <c r="CK97" s="152">
        <f>+'Info recibida'!CK97/550</f>
        <v>0</v>
      </c>
      <c r="CL97" s="152">
        <f>+'Info recibida'!CL97/550</f>
        <v>0</v>
      </c>
      <c r="CM97" s="152">
        <f>+'Info recibida'!CM97/550</f>
        <v>0</v>
      </c>
      <c r="CN97" s="152">
        <f>+'Info recibida'!CN97/550</f>
        <v>0</v>
      </c>
      <c r="CO97" s="152">
        <f>+'Info recibida'!CO97/550</f>
        <v>0</v>
      </c>
      <c r="CP97" s="152">
        <f>+'Info recibida'!CP97/550</f>
        <v>0</v>
      </c>
      <c r="CQ97" s="156">
        <f>+'Info recibida'!CQ97/550</f>
        <v>37500</v>
      </c>
      <c r="CR97" s="158"/>
      <c r="CS97" s="160">
        <f>SUM(CS98)</f>
        <v>0</v>
      </c>
      <c r="CT97" s="145"/>
      <c r="CU97" s="145"/>
      <c r="CV97" s="145"/>
      <c r="CW97" s="145"/>
      <c r="CX97" s="145"/>
      <c r="CY97" s="161">
        <f>+'Info recibida'!CY97/550</f>
        <v>37500</v>
      </c>
      <c r="CZ97" s="151"/>
      <c r="DA97" s="517"/>
    </row>
    <row r="98" spans="2:105" ht="26.1" customHeight="1" thickBot="1" x14ac:dyDescent="0.3">
      <c r="B98" s="204" t="s">
        <v>96</v>
      </c>
      <c r="C98" s="205" t="s">
        <v>355</v>
      </c>
      <c r="D98" s="47" t="s">
        <v>2</v>
      </c>
      <c r="E98" s="48" t="s">
        <v>403</v>
      </c>
      <c r="F98" s="48" t="s">
        <v>393</v>
      </c>
      <c r="G98" s="48" t="s">
        <v>139</v>
      </c>
      <c r="H98" s="51" t="s">
        <v>245</v>
      </c>
      <c r="I98" s="51" t="s">
        <v>230</v>
      </c>
      <c r="J98" s="347"/>
      <c r="K98" s="348"/>
      <c r="L98" s="349"/>
      <c r="N98" s="204" t="s">
        <v>96</v>
      </c>
      <c r="O98" s="47" t="s">
        <v>3</v>
      </c>
      <c r="P98" s="48" t="s">
        <v>403</v>
      </c>
      <c r="Q98" s="48" t="s">
        <v>314</v>
      </c>
      <c r="R98" s="48" t="s">
        <v>314</v>
      </c>
      <c r="S98" s="48" t="s">
        <v>314</v>
      </c>
      <c r="T98" s="48" t="s">
        <v>307</v>
      </c>
      <c r="U98" s="48"/>
      <c r="V98" s="48"/>
      <c r="W98" s="48" t="s">
        <v>314</v>
      </c>
      <c r="X98" s="48"/>
      <c r="Y98" s="48"/>
      <c r="Z98" s="48"/>
      <c r="AA98" s="48"/>
      <c r="AB98" s="48"/>
      <c r="AC98" s="48"/>
      <c r="AD98" s="48"/>
      <c r="AE98" s="209"/>
      <c r="AF98" s="47" t="s">
        <v>315</v>
      </c>
      <c r="AG98" s="210" t="s">
        <v>319</v>
      </c>
      <c r="AH98" s="68" t="s">
        <v>353</v>
      </c>
      <c r="AI98" s="170"/>
      <c r="AJ98" s="170">
        <v>0</v>
      </c>
      <c r="AK98" s="170">
        <v>0</v>
      </c>
      <c r="AL98" s="170">
        <v>0</v>
      </c>
      <c r="AM98" s="170">
        <v>0</v>
      </c>
      <c r="AN98" s="170">
        <v>0</v>
      </c>
      <c r="AO98" s="170">
        <v>0</v>
      </c>
      <c r="AP98" s="170">
        <v>0</v>
      </c>
      <c r="AQ98" s="170">
        <v>0</v>
      </c>
      <c r="AR98" s="170">
        <v>0</v>
      </c>
      <c r="AS98" s="170"/>
      <c r="AT98" s="170"/>
      <c r="AU98" s="170">
        <v>1</v>
      </c>
      <c r="AV98" s="170">
        <v>0</v>
      </c>
      <c r="AW98" s="170">
        <v>0</v>
      </c>
      <c r="AX98" s="170">
        <v>0</v>
      </c>
      <c r="AY98" s="170">
        <v>0</v>
      </c>
      <c r="AZ98" s="170">
        <v>0</v>
      </c>
      <c r="BA98" s="170">
        <v>0</v>
      </c>
      <c r="BB98" s="170">
        <v>0</v>
      </c>
      <c r="BC98" s="170">
        <v>0</v>
      </c>
      <c r="BD98" s="170"/>
      <c r="BE98" s="260"/>
      <c r="BF98" s="206" t="s">
        <v>334</v>
      </c>
      <c r="BG98" s="68" t="s">
        <v>312</v>
      </c>
      <c r="BH98" s="48" t="s">
        <v>313</v>
      </c>
      <c r="BI98" s="211">
        <f>+'Info recibida'!BJ98/550</f>
        <v>0</v>
      </c>
      <c r="BJ98" s="170">
        <f>+'Info recibida'!BK98/550</f>
        <v>0</v>
      </c>
      <c r="BK98" s="170">
        <f>+'Info recibida'!BL98/550</f>
        <v>0</v>
      </c>
      <c r="BL98" s="170">
        <f>+'Info recibida'!BM98/550</f>
        <v>0</v>
      </c>
      <c r="BM98" s="170">
        <f>+'Info recibida'!BN98/550</f>
        <v>0</v>
      </c>
      <c r="BN98" s="170">
        <f>+'Info recibida'!BO98/550</f>
        <v>0</v>
      </c>
      <c r="BO98" s="170">
        <f>+'Info recibida'!BP98/550</f>
        <v>0</v>
      </c>
      <c r="BP98" s="170">
        <f>+'Info recibida'!BQ98/550</f>
        <v>0</v>
      </c>
      <c r="BQ98" s="170">
        <f>+'Info recibida'!BR98/550</f>
        <v>0</v>
      </c>
      <c r="BR98" s="170">
        <f>+'Info recibida'!BS98/550</f>
        <v>0</v>
      </c>
      <c r="BS98" s="170">
        <f>+'Info recibida'!BT98/550</f>
        <v>0</v>
      </c>
      <c r="BT98" s="48"/>
      <c r="BU98" s="48"/>
      <c r="BV98" s="48"/>
      <c r="BW98" s="243"/>
      <c r="BX98" s="212">
        <f>+'Info recibida'!BY98/550</f>
        <v>37500</v>
      </c>
      <c r="BY98" s="170">
        <f>+'Info recibida'!BZ98/550</f>
        <v>0</v>
      </c>
      <c r="BZ98" s="170">
        <f>+'Info recibida'!CA98/550</f>
        <v>0</v>
      </c>
      <c r="CA98" s="170">
        <f>+'Info recibida'!CB98/550</f>
        <v>0</v>
      </c>
      <c r="CB98" s="170">
        <f>+'Info recibida'!CC98/550</f>
        <v>0</v>
      </c>
      <c r="CC98" s="170">
        <f>+'Info recibida'!CD98/550</f>
        <v>0</v>
      </c>
      <c r="CD98" s="170">
        <f>+'Info recibida'!CE98/550</f>
        <v>0</v>
      </c>
      <c r="CE98" s="170">
        <f>+'Info recibida'!CF98/550</f>
        <v>0</v>
      </c>
      <c r="CF98" s="218">
        <f>+'Info recibida'!CG98/550</f>
        <v>0</v>
      </c>
      <c r="CG98" s="213">
        <f t="shared" si="23"/>
        <v>37500</v>
      </c>
      <c r="CH98" s="212">
        <f>+'Info recibida'!CH98/550</f>
        <v>37500</v>
      </c>
      <c r="CI98" s="170">
        <f>+'Info recibida'!CI98/550</f>
        <v>0</v>
      </c>
      <c r="CJ98" s="170">
        <f>+'Info recibida'!CJ98/550</f>
        <v>0</v>
      </c>
      <c r="CK98" s="170">
        <f>+'Info recibida'!CK98/550</f>
        <v>0</v>
      </c>
      <c r="CL98" s="170">
        <f>+'Info recibida'!CL98/550</f>
        <v>0</v>
      </c>
      <c r="CM98" s="170">
        <f>+'Info recibida'!CM98/550</f>
        <v>0</v>
      </c>
      <c r="CN98" s="170">
        <f>+'Info recibida'!CN98/550</f>
        <v>0</v>
      </c>
      <c r="CO98" s="170">
        <f>+'Info recibida'!CO98/550</f>
        <v>0</v>
      </c>
      <c r="CP98" s="170">
        <f>+'Info recibida'!CP98/550</f>
        <v>0</v>
      </c>
      <c r="CQ98" s="213">
        <f>+'Info recibida'!CQ98/550</f>
        <v>37500</v>
      </c>
      <c r="CR98" s="70"/>
      <c r="CS98" s="71"/>
      <c r="CT98" s="71"/>
      <c r="CU98" s="210"/>
      <c r="CV98" s="210"/>
      <c r="CW98" s="210"/>
      <c r="CX98" s="210"/>
      <c r="CY98" s="221">
        <f>+'Info recibida'!CY98/550</f>
        <v>37500</v>
      </c>
      <c r="CZ98" s="222"/>
      <c r="DA98" s="517">
        <f t="shared" si="18"/>
        <v>7.5122158286725074E-3</v>
      </c>
    </row>
    <row r="99" spans="2:105" ht="26.1" customHeight="1" x14ac:dyDescent="0.25">
      <c r="BH99" s="350"/>
    </row>
    <row r="100" spans="2:105" ht="26.1" customHeight="1" x14ac:dyDescent="0.25">
      <c r="B100" s="351" t="s">
        <v>97</v>
      </c>
      <c r="C100" s="351"/>
      <c r="BH100" s="350"/>
    </row>
    <row r="101" spans="2:105" ht="26.1" customHeight="1" thickBot="1" x14ac:dyDescent="0.3">
      <c r="B101" s="352" t="s">
        <v>99</v>
      </c>
      <c r="C101" s="353"/>
      <c r="D101" s="354" t="s">
        <v>81</v>
      </c>
      <c r="E101" s="355"/>
      <c r="F101" s="356" t="s">
        <v>100</v>
      </c>
      <c r="G101" s="357" t="s">
        <v>141</v>
      </c>
      <c r="H101" s="53"/>
      <c r="I101" s="54" t="s">
        <v>230</v>
      </c>
      <c r="J101" s="347" t="s">
        <v>259</v>
      </c>
      <c r="K101" s="348"/>
      <c r="L101" s="349"/>
    </row>
    <row r="102" spans="2:105" ht="26.1" customHeight="1" x14ac:dyDescent="0.25">
      <c r="B102" s="204" t="s">
        <v>41</v>
      </c>
      <c r="C102" s="205" t="s">
        <v>357</v>
      </c>
      <c r="D102" s="47" t="s">
        <v>1</v>
      </c>
      <c r="E102" s="255"/>
      <c r="F102" s="77" t="s">
        <v>415</v>
      </c>
      <c r="G102" s="48" t="s">
        <v>114</v>
      </c>
      <c r="H102" s="67"/>
      <c r="I102" s="67"/>
    </row>
  </sheetData>
  <mergeCells count="26">
    <mergeCell ref="CG2:CG3"/>
    <mergeCell ref="CQ2:CQ3"/>
    <mergeCell ref="AI2:AI3"/>
    <mergeCell ref="AJ2:AT2"/>
    <mergeCell ref="O1:AE1"/>
    <mergeCell ref="AF1:BE1"/>
    <mergeCell ref="BF1:CZ1"/>
    <mergeCell ref="P2:P3"/>
    <mergeCell ref="BT2:BW2"/>
    <mergeCell ref="CR2:CZ2"/>
    <mergeCell ref="AU2:BE2"/>
    <mergeCell ref="BF2:BF3"/>
    <mergeCell ref="BG2:BG3"/>
    <mergeCell ref="BH2:BH3"/>
    <mergeCell ref="BI2:BI3"/>
    <mergeCell ref="Q2:AE2"/>
    <mergeCell ref="AF2:AF3"/>
    <mergeCell ref="AG2:AG3"/>
    <mergeCell ref="AH2:AH3"/>
    <mergeCell ref="BS2:BS3"/>
    <mergeCell ref="B2:B3"/>
    <mergeCell ref="D2:G2"/>
    <mergeCell ref="J2:L2"/>
    <mergeCell ref="N2:N3"/>
    <mergeCell ref="O2:O3"/>
    <mergeCell ref="J3:L3"/>
  </mergeCells>
  <conditionalFormatting sqref="G12 G71 G73 G79:G81 G83 G34:G35 G67:G68 G64 G62">
    <cfRule type="containsText" dxfId="1200" priority="315" operator="containsText" text="x">
      <formula>NOT(ISERROR(SEARCH("x",G12)))</formula>
    </cfRule>
  </conditionalFormatting>
  <conditionalFormatting sqref="G86">
    <cfRule type="containsText" dxfId="1199" priority="314" operator="containsText" text="x">
      <formula>NOT(ISERROR(SEARCH("x",G86)))</formula>
    </cfRule>
  </conditionalFormatting>
  <conditionalFormatting sqref="G92">
    <cfRule type="containsText" dxfId="1198" priority="313" operator="containsText" text="x">
      <formula>NOT(ISERROR(SEARCH("x",G92)))</formula>
    </cfRule>
  </conditionalFormatting>
  <conditionalFormatting sqref="G93:G94">
    <cfRule type="containsText" dxfId="1197" priority="312" operator="containsText" text="x">
      <formula>NOT(ISERROR(SEARCH("x",G93)))</formula>
    </cfRule>
  </conditionalFormatting>
  <conditionalFormatting sqref="G101">
    <cfRule type="containsText" dxfId="1196" priority="311" operator="containsText" text="x">
      <formula>NOT(ISERROR(SEARCH("x",G101)))</formula>
    </cfRule>
  </conditionalFormatting>
  <conditionalFormatting sqref="G88">
    <cfRule type="containsText" dxfId="1195" priority="310" operator="containsText" text="x">
      <formula>NOT(ISERROR(SEARCH("x",G88)))</formula>
    </cfRule>
  </conditionalFormatting>
  <conditionalFormatting sqref="G61">
    <cfRule type="containsText" dxfId="1194" priority="309" operator="containsText" text="x">
      <formula>NOT(ISERROR(SEARCH("x",G61)))</formula>
    </cfRule>
  </conditionalFormatting>
  <conditionalFormatting sqref="G43">
    <cfRule type="containsText" dxfId="1193" priority="308" operator="containsText" text="x">
      <formula>NOT(ISERROR(SEARCH("x",G43)))</formula>
    </cfRule>
  </conditionalFormatting>
  <conditionalFormatting sqref="G33">
    <cfRule type="containsText" dxfId="1192" priority="307" operator="containsText" text="x">
      <formula>NOT(ISERROR(SEARCH("x",G33)))</formula>
    </cfRule>
  </conditionalFormatting>
  <conditionalFormatting sqref="G49">
    <cfRule type="containsText" dxfId="1191" priority="306" operator="containsText" text="x">
      <formula>NOT(ISERROR(SEARCH("x",G49)))</formula>
    </cfRule>
  </conditionalFormatting>
  <conditionalFormatting sqref="G28:G29">
    <cfRule type="containsText" dxfId="1190" priority="305" operator="containsText" text="x">
      <formula>NOT(ISERROR(SEARCH("x",G28)))</formula>
    </cfRule>
  </conditionalFormatting>
  <conditionalFormatting sqref="G22">
    <cfRule type="containsText" dxfId="1189" priority="304" operator="containsText" text="x">
      <formula>NOT(ISERROR(SEARCH("x",G22)))</formula>
    </cfRule>
  </conditionalFormatting>
  <conditionalFormatting sqref="G90">
    <cfRule type="containsText" dxfId="1188" priority="303" operator="containsText" text="x">
      <formula>NOT(ISERROR(SEARCH("x",G90)))</formula>
    </cfRule>
  </conditionalFormatting>
  <conditionalFormatting sqref="G72">
    <cfRule type="containsText" dxfId="1187" priority="301" operator="containsText" text="x">
      <formula>NOT(ISERROR(SEARCH("x",G72)))</formula>
    </cfRule>
  </conditionalFormatting>
  <conditionalFormatting sqref="G24">
    <cfRule type="containsText" dxfId="1186" priority="297" operator="containsText" text="x">
      <formula>NOT(ISERROR(SEARCH("x",G24)))</formula>
    </cfRule>
  </conditionalFormatting>
  <conditionalFormatting sqref="G6:G7">
    <cfRule type="containsText" dxfId="1185" priority="300" operator="containsText" text="x">
      <formula>NOT(ISERROR(SEARCH("x",G6)))</formula>
    </cfRule>
  </conditionalFormatting>
  <conditionalFormatting sqref="G47">
    <cfRule type="containsText" dxfId="1184" priority="299" operator="containsText" text="x">
      <formula>NOT(ISERROR(SEARCH("x",G47)))</formula>
    </cfRule>
  </conditionalFormatting>
  <conditionalFormatting sqref="G44:G45">
    <cfRule type="containsText" dxfId="1183" priority="298" operator="containsText" text="x">
      <formula>NOT(ISERROR(SEARCH("x",G44)))</formula>
    </cfRule>
  </conditionalFormatting>
  <conditionalFormatting sqref="G51">
    <cfRule type="containsText" dxfId="1182" priority="296" operator="containsText" text="x">
      <formula>NOT(ISERROR(SEARCH("x",G51)))</formula>
    </cfRule>
  </conditionalFormatting>
  <conditionalFormatting sqref="G69">
    <cfRule type="containsText" dxfId="1181" priority="295" operator="containsText" text="x">
      <formula>NOT(ISERROR(SEARCH("x",G69)))</formula>
    </cfRule>
  </conditionalFormatting>
  <conditionalFormatting sqref="G75">
    <cfRule type="containsText" dxfId="1180" priority="294" operator="containsText" text="x">
      <formula>NOT(ISERROR(SEARCH("x",G75)))</formula>
    </cfRule>
  </conditionalFormatting>
  <conditionalFormatting sqref="G98">
    <cfRule type="containsText" dxfId="1179" priority="293" operator="containsText" text="x">
      <formula>NOT(ISERROR(SEARCH("x",G98)))</formula>
    </cfRule>
  </conditionalFormatting>
  <conditionalFormatting sqref="G8">
    <cfRule type="containsText" dxfId="1178" priority="292" operator="containsText" text="x">
      <formula>NOT(ISERROR(SEARCH("x",G8)))</formula>
    </cfRule>
  </conditionalFormatting>
  <conditionalFormatting sqref="G40">
    <cfRule type="containsText" dxfId="1177" priority="291" operator="containsText" text="x">
      <formula>NOT(ISERROR(SEARCH("x",G40)))</formula>
    </cfRule>
  </conditionalFormatting>
  <conditionalFormatting sqref="G53">
    <cfRule type="containsText" dxfId="1176" priority="290" operator="containsText" text="x">
      <formula>NOT(ISERROR(SEARCH("x",G53)))</formula>
    </cfRule>
  </conditionalFormatting>
  <conditionalFormatting sqref="G58">
    <cfRule type="containsText" dxfId="1175" priority="289" operator="containsText" text="x">
      <formula>NOT(ISERROR(SEARCH("x",G58)))</formula>
    </cfRule>
  </conditionalFormatting>
  <conditionalFormatting sqref="BG49">
    <cfRule type="containsText" dxfId="1174" priority="283" operator="containsText" text="L3 - Subprograms (in planning)">
      <formula>NOT(ISERROR(SEARCH("L3 - Subprograms (in planning)",BG49)))</formula>
    </cfRule>
    <cfRule type="containsText" dxfId="1173" priority="284" operator="containsText" text="L3 - Subprograms (w/plans)">
      <formula>NOT(ISERROR(SEARCH("L3 - Subprograms (w/plans)",BG49)))</formula>
    </cfRule>
    <cfRule type="containsText" dxfId="1172" priority="285" operator="containsText" text="L2 - Policies and Strategies REDD+ and Land-use">
      <formula>NOT(ISERROR(SEARCH("L2 - Policies and Strategies REDD+ and Land-use",BG49)))</formula>
    </cfRule>
    <cfRule type="containsText" dxfId="1171" priority="286" operator="containsText" text="TBD/??">
      <formula>NOT(ISERROR(SEARCH("TBD/??",BG49)))</formula>
    </cfRule>
    <cfRule type="containsText" dxfId="1170" priority="287" operator="containsText" text="L1 - REDD+ Program Admin and Mgt">
      <formula>NOT(ISERROR(SEARCH("L1 - REDD+ Program Admin and Mgt",BG49)))</formula>
    </cfRule>
  </conditionalFormatting>
  <conditionalFormatting sqref="Q49:AE49">
    <cfRule type="containsText" dxfId="1169" priority="282" operator="containsText" text="x">
      <formula>NOT(ISERROR(SEARCH("x",Q49)))</formula>
    </cfRule>
  </conditionalFormatting>
  <conditionalFormatting sqref="BG64">
    <cfRule type="containsText" dxfId="1168" priority="277" operator="containsText" text="L3 - Subprograms (in planning)">
      <formula>NOT(ISERROR(SEARCH("L3 - Subprograms (in planning)",BG64)))</formula>
    </cfRule>
    <cfRule type="containsText" dxfId="1167" priority="278" operator="containsText" text="L3 - Subprograms (w/plans)">
      <formula>NOT(ISERROR(SEARCH("L3 - Subprograms (w/plans)",BG64)))</formula>
    </cfRule>
    <cfRule type="containsText" dxfId="1166" priority="279" operator="containsText" text="L2 - Policies and Strategies REDD+ and Land-use">
      <formula>NOT(ISERROR(SEARCH("L2 - Policies and Strategies REDD+ and Land-use",BG64)))</formula>
    </cfRule>
    <cfRule type="containsText" dxfId="1165" priority="280" operator="containsText" text="TBD/??">
      <formula>NOT(ISERROR(SEARCH("TBD/??",BG64)))</formula>
    </cfRule>
    <cfRule type="containsText" dxfId="1164" priority="281" operator="containsText" text="L1 - REDD+ Program Admin and Mgt">
      <formula>NOT(ISERROR(SEARCH("L1 - REDD+ Program Admin and Mgt",BG64)))</formula>
    </cfRule>
  </conditionalFormatting>
  <conditionalFormatting sqref="Q64:AE64">
    <cfRule type="containsText" dxfId="1163" priority="276" operator="containsText" text="x">
      <formula>NOT(ISERROR(SEARCH("x",Q64)))</formula>
    </cfRule>
  </conditionalFormatting>
  <conditionalFormatting sqref="BG35">
    <cfRule type="containsText" dxfId="1162" priority="261" operator="containsText" text="L3 - Subprograms (in planning)">
      <formula>NOT(ISERROR(SEARCH("L3 - Subprograms (in planning)",BG35)))</formula>
    </cfRule>
    <cfRule type="containsText" dxfId="1161" priority="262" operator="containsText" text="L3 - Subprograms (w/plans)">
      <formula>NOT(ISERROR(SEARCH("L3 - Subprograms (w/plans)",BG35)))</formula>
    </cfRule>
    <cfRule type="containsText" dxfId="1160" priority="263" operator="containsText" text="L2 - Policies and Strategies REDD+ and Land-use">
      <formula>NOT(ISERROR(SEARCH("L2 - Policies and Strategies REDD+ and Land-use",BG35)))</formula>
    </cfRule>
    <cfRule type="containsText" dxfId="1159" priority="264" operator="containsText" text="TBD/??">
      <formula>NOT(ISERROR(SEARCH("TBD/??",BG35)))</formula>
    </cfRule>
    <cfRule type="containsText" dxfId="1158" priority="265" operator="containsText" text="L1 - REDD+ Program Admin and Mgt">
      <formula>NOT(ISERROR(SEARCH("L1 - REDD+ Program Admin and Mgt",BG35)))</formula>
    </cfRule>
  </conditionalFormatting>
  <conditionalFormatting sqref="Q81:AE81">
    <cfRule type="containsText" dxfId="1157" priority="275" operator="containsText" text="x">
      <formula>NOT(ISERROR(SEARCH("x",Q81)))</formula>
    </cfRule>
  </conditionalFormatting>
  <conditionalFormatting sqref="BG88">
    <cfRule type="containsText" dxfId="1156" priority="270" operator="containsText" text="L3 - Subprograms (in planning)">
      <formula>NOT(ISERROR(SEARCH("L3 - Subprograms (in planning)",BG88)))</formula>
    </cfRule>
    <cfRule type="containsText" dxfId="1155" priority="271" operator="containsText" text="L3 - Subprograms (w/plans)">
      <formula>NOT(ISERROR(SEARCH("L3 - Subprograms (w/plans)",BG88)))</formula>
    </cfRule>
    <cfRule type="containsText" dxfId="1154" priority="272" operator="containsText" text="L2 - Policies and Strategies REDD+ and Land-use">
      <formula>NOT(ISERROR(SEARCH("L2 - Policies and Strategies REDD+ and Land-use",BG88)))</formula>
    </cfRule>
    <cfRule type="containsText" dxfId="1153" priority="273" operator="containsText" text="TBD/??">
      <formula>NOT(ISERROR(SEARCH("TBD/??",BG88)))</formula>
    </cfRule>
    <cfRule type="containsText" dxfId="1152" priority="274" operator="containsText" text="L1 - REDD+ Program Admin and Mgt">
      <formula>NOT(ISERROR(SEARCH("L1 - REDD+ Program Admin and Mgt",BG88)))</formula>
    </cfRule>
  </conditionalFormatting>
  <conditionalFormatting sqref="Q88:AE88">
    <cfRule type="containsText" dxfId="1151" priority="269" operator="containsText" text="x">
      <formula>NOT(ISERROR(SEARCH("x",Q88)))</formula>
    </cfRule>
  </conditionalFormatting>
  <conditionalFormatting sqref="Q67:AE68">
    <cfRule type="containsText" dxfId="1150" priority="268" operator="containsText" text="x">
      <formula>NOT(ISERROR(SEARCH("x",Q67)))</formula>
    </cfRule>
  </conditionalFormatting>
  <conditionalFormatting sqref="BG28">
    <cfRule type="containsText" dxfId="1149" priority="201" operator="containsText" text="L3 - Subprograms (in planning)">
      <formula>NOT(ISERROR(SEARCH("L3 - Subprograms (in planning)",BG28)))</formula>
    </cfRule>
    <cfRule type="containsText" dxfId="1148" priority="202" operator="containsText" text="L3 - Subprograms (w/plans)">
      <formula>NOT(ISERROR(SEARCH("L3 - Subprograms (w/plans)",BG28)))</formula>
    </cfRule>
    <cfRule type="containsText" dxfId="1147" priority="203" operator="containsText" text="L2 - Policies and Strategies REDD+ and Land-use">
      <formula>NOT(ISERROR(SEARCH("L2 - Policies and Strategies REDD+ and Land-use",BG28)))</formula>
    </cfRule>
    <cfRule type="containsText" dxfId="1146" priority="204" operator="containsText" text="TBD/??">
      <formula>NOT(ISERROR(SEARCH("TBD/??",BG28)))</formula>
    </cfRule>
    <cfRule type="containsText" dxfId="1145" priority="205" operator="containsText" text="L1 - REDD+ Program Admin and Mgt">
      <formula>NOT(ISERROR(SEARCH("L1 - REDD+ Program Admin and Mgt",BG28)))</formula>
    </cfRule>
  </conditionalFormatting>
  <conditionalFormatting sqref="Q71:AE71">
    <cfRule type="containsText" dxfId="1144" priority="267" operator="containsText" text="x">
      <formula>NOT(ISERROR(SEARCH("x",Q71)))</formula>
    </cfRule>
  </conditionalFormatting>
  <conditionalFormatting sqref="Q73:AE73">
    <cfRule type="containsText" dxfId="1143" priority="266" operator="containsText" text="x">
      <formula>NOT(ISERROR(SEARCH("x",Q73)))</formula>
    </cfRule>
  </conditionalFormatting>
  <conditionalFormatting sqref="Q35:AE35">
    <cfRule type="containsText" dxfId="1142" priority="260" operator="containsText" text="x">
      <formula>NOT(ISERROR(SEARCH("x",Q35)))</formula>
    </cfRule>
  </conditionalFormatting>
  <conditionalFormatting sqref="Q40:AE40">
    <cfRule type="containsText" dxfId="1141" priority="254" operator="containsText" text="x">
      <formula>NOT(ISERROR(SEARCH("x",Q40)))</formula>
    </cfRule>
  </conditionalFormatting>
  <conditionalFormatting sqref="BG40">
    <cfRule type="containsText" dxfId="1140" priority="255" operator="containsText" text="L3 - Subprograms (in planning)">
      <formula>NOT(ISERROR(SEARCH("L3 - Subprograms (in planning)",BG40)))</formula>
    </cfRule>
    <cfRule type="containsText" dxfId="1139" priority="256" operator="containsText" text="L3 - Subprograms (w/plans)">
      <formula>NOT(ISERROR(SEARCH("L3 - Subprograms (w/plans)",BG40)))</formula>
    </cfRule>
    <cfRule type="containsText" dxfId="1138" priority="257" operator="containsText" text="L2 - Policies and Strategies REDD+ and Land-use">
      <formula>NOT(ISERROR(SEARCH("L2 - Policies and Strategies REDD+ and Land-use",BG40)))</formula>
    </cfRule>
    <cfRule type="containsText" dxfId="1137" priority="258" operator="containsText" text="TBD/??">
      <formula>NOT(ISERROR(SEARCH("TBD/??",BG40)))</formula>
    </cfRule>
    <cfRule type="containsText" dxfId="1136" priority="259" operator="containsText" text="L1 - REDD+ Program Admin and Mgt">
      <formula>NOT(ISERROR(SEARCH("L1 - REDD+ Program Admin and Mgt",BG40)))</formula>
    </cfRule>
  </conditionalFormatting>
  <conditionalFormatting sqref="Q22:AE22">
    <cfRule type="containsText" dxfId="1135" priority="253" operator="containsText" text="x">
      <formula>NOT(ISERROR(SEARCH("x",Q22)))</formula>
    </cfRule>
  </conditionalFormatting>
  <conditionalFormatting sqref="Q51:AE51">
    <cfRule type="containsText" dxfId="1134" priority="252" operator="containsText" text="x">
      <formula>NOT(ISERROR(SEARCH("x",Q51)))</formula>
    </cfRule>
  </conditionalFormatting>
  <conditionalFormatting sqref="Q62:AE62">
    <cfRule type="containsText" dxfId="1133" priority="251" operator="containsText" text="x">
      <formula>NOT(ISERROR(SEARCH("x",Q62)))</formula>
    </cfRule>
  </conditionalFormatting>
  <conditionalFormatting sqref="BG29">
    <cfRule type="containsText" dxfId="1132" priority="221" operator="containsText" text="L3 - Subprograms (in planning)">
      <formula>NOT(ISERROR(SEARCH("L3 - Subprograms (in planning)",BG29)))</formula>
    </cfRule>
    <cfRule type="containsText" dxfId="1131" priority="222" operator="containsText" text="L3 - Subprograms (w/plans)">
      <formula>NOT(ISERROR(SEARCH("L3 - Subprograms (w/plans)",BG29)))</formula>
    </cfRule>
    <cfRule type="containsText" dxfId="1130" priority="223" operator="containsText" text="L2 - Policies and Strategies REDD+ and Land-use">
      <formula>NOT(ISERROR(SEARCH("L2 - Policies and Strategies REDD+ and Land-use",BG29)))</formula>
    </cfRule>
    <cfRule type="containsText" dxfId="1129" priority="224" operator="containsText" text="TBD/??">
      <formula>NOT(ISERROR(SEARCH("TBD/??",BG29)))</formula>
    </cfRule>
    <cfRule type="containsText" dxfId="1128" priority="225" operator="containsText" text="L1 - REDD+ Program Admin and Mgt">
      <formula>NOT(ISERROR(SEARCH("L1 - REDD+ Program Admin and Mgt",BG29)))</formula>
    </cfRule>
  </conditionalFormatting>
  <conditionalFormatting sqref="Q69:AE69">
    <cfRule type="containsText" dxfId="1127" priority="250" operator="containsText" text="x">
      <formula>NOT(ISERROR(SEARCH("x",Q69)))</formula>
    </cfRule>
  </conditionalFormatting>
  <conditionalFormatting sqref="BG83">
    <cfRule type="containsText" dxfId="1126" priority="244" operator="containsText" text="L3 - Subprograms (in planning)">
      <formula>NOT(ISERROR(SEARCH("L3 - Subprograms (in planning)",BG83)))</formula>
    </cfRule>
    <cfRule type="containsText" dxfId="1125" priority="245" operator="containsText" text="L3 - Subprograms (w/plans)">
      <formula>NOT(ISERROR(SEARCH("L3 - Subprograms (w/plans)",BG83)))</formula>
    </cfRule>
    <cfRule type="containsText" dxfId="1124" priority="246" operator="containsText" text="L2 - Policies and Strategies REDD+ and Land-use">
      <formula>NOT(ISERROR(SEARCH("L2 - Policies and Strategies REDD+ and Land-use",BG83)))</formula>
    </cfRule>
    <cfRule type="containsText" dxfId="1123" priority="247" operator="containsText" text="TBD/??">
      <formula>NOT(ISERROR(SEARCH("TBD/??",BG83)))</formula>
    </cfRule>
    <cfRule type="containsText" dxfId="1122" priority="248" operator="containsText" text="L1 - REDD+ Program Admin and Mgt">
      <formula>NOT(ISERROR(SEARCH("L1 - REDD+ Program Admin and Mgt",BG83)))</formula>
    </cfRule>
  </conditionalFormatting>
  <conditionalFormatting sqref="Q83:AE83">
    <cfRule type="containsText" dxfId="1121" priority="243" operator="containsText" text="x">
      <formula>NOT(ISERROR(SEARCH("x",Q83)))</formula>
    </cfRule>
  </conditionalFormatting>
  <conditionalFormatting sqref="Q86:AE86">
    <cfRule type="containsText" dxfId="1120" priority="241" operator="containsText" text="x">
      <formula>NOT(ISERROR(SEARCH("x",Q86)))</formula>
    </cfRule>
  </conditionalFormatting>
  <conditionalFormatting sqref="Q90:AE90">
    <cfRule type="containsText" dxfId="1119" priority="240" operator="containsText" text="x">
      <formula>NOT(ISERROR(SEARCH("x",Q90)))</formula>
    </cfRule>
  </conditionalFormatting>
  <conditionalFormatting sqref="BG92">
    <cfRule type="containsText" dxfId="1118" priority="235" operator="containsText" text="L3 - Subprograms (in planning)">
      <formula>NOT(ISERROR(SEARCH("L3 - Subprograms (in planning)",BG92)))</formula>
    </cfRule>
    <cfRule type="containsText" dxfId="1117" priority="236" operator="containsText" text="L3 - Subprograms (w/plans)">
      <formula>NOT(ISERROR(SEARCH("L3 - Subprograms (w/plans)",BG92)))</formula>
    </cfRule>
    <cfRule type="containsText" dxfId="1116" priority="237" operator="containsText" text="L2 - Policies and Strategies REDD+ and Land-use">
      <formula>NOT(ISERROR(SEARCH("L2 - Policies and Strategies REDD+ and Land-use",BG92)))</formula>
    </cfRule>
    <cfRule type="containsText" dxfId="1115" priority="238" operator="containsText" text="TBD/??">
      <formula>NOT(ISERROR(SEARCH("TBD/??",BG92)))</formula>
    </cfRule>
    <cfRule type="containsText" dxfId="1114" priority="239" operator="containsText" text="L1 - REDD+ Program Admin and Mgt">
      <formula>NOT(ISERROR(SEARCH("L1 - REDD+ Program Admin and Mgt",BG92)))</formula>
    </cfRule>
  </conditionalFormatting>
  <conditionalFormatting sqref="Q92:AE92">
    <cfRule type="containsText" dxfId="1113" priority="234" operator="containsText" text="x">
      <formula>NOT(ISERROR(SEARCH("x",Q92)))</formula>
    </cfRule>
  </conditionalFormatting>
  <conditionalFormatting sqref="BG93">
    <cfRule type="containsText" dxfId="1112" priority="229" operator="containsText" text="L3 - Subprograms (in planning)">
      <formula>NOT(ISERROR(SEARCH("L3 - Subprograms (in planning)",BG93)))</formula>
    </cfRule>
    <cfRule type="containsText" dxfId="1111" priority="230" operator="containsText" text="L3 - Subprograms (w/plans)">
      <formula>NOT(ISERROR(SEARCH("L3 - Subprograms (w/plans)",BG93)))</formula>
    </cfRule>
    <cfRule type="containsText" dxfId="1110" priority="231" operator="containsText" text="L2 - Policies and Strategies REDD+ and Land-use">
      <formula>NOT(ISERROR(SEARCH("L2 - Policies and Strategies REDD+ and Land-use",BG93)))</formula>
    </cfRule>
    <cfRule type="containsText" dxfId="1109" priority="232" operator="containsText" text="TBD/??">
      <formula>NOT(ISERROR(SEARCH("TBD/??",BG93)))</formula>
    </cfRule>
    <cfRule type="containsText" dxfId="1108" priority="233" operator="containsText" text="L1 - REDD+ Program Admin and Mgt">
      <formula>NOT(ISERROR(SEARCH("L1 - REDD+ Program Admin and Mgt",BG93)))</formula>
    </cfRule>
  </conditionalFormatting>
  <conditionalFormatting sqref="Q93:AE94">
    <cfRule type="containsText" dxfId="1107" priority="228" operator="containsText" text="x">
      <formula>NOT(ISERROR(SEARCH("x",Q93)))</formula>
    </cfRule>
  </conditionalFormatting>
  <conditionalFormatting sqref="Q98:AE98">
    <cfRule type="containsText" dxfId="1106" priority="226" operator="containsText" text="x">
      <formula>NOT(ISERROR(SEARCH("x",Q98)))</formula>
    </cfRule>
  </conditionalFormatting>
  <conditionalFormatting sqref="Q29:R29 T29:AE29">
    <cfRule type="containsText" dxfId="1105" priority="220" operator="containsText" text="x">
      <formula>NOT(ISERROR(SEARCH("x",Q29)))</formula>
    </cfRule>
  </conditionalFormatting>
  <conditionalFormatting sqref="Q34:AE34">
    <cfRule type="containsText" dxfId="1104" priority="219" operator="containsText" text="x">
      <formula>NOT(ISERROR(SEARCH("x",Q34)))</formula>
    </cfRule>
  </conditionalFormatting>
  <conditionalFormatting sqref="BG33">
    <cfRule type="containsText" dxfId="1103" priority="214" operator="containsText" text="L3 - Subprograms (in planning)">
      <formula>NOT(ISERROR(SEARCH("L3 - Subprograms (in planning)",BG33)))</formula>
    </cfRule>
    <cfRule type="containsText" dxfId="1102" priority="215" operator="containsText" text="L3 - Subprograms (w/plans)">
      <formula>NOT(ISERROR(SEARCH("L3 - Subprograms (w/plans)",BG33)))</formula>
    </cfRule>
    <cfRule type="containsText" dxfId="1101" priority="216" operator="containsText" text="L2 - Policies and Strategies REDD+ and Land-use">
      <formula>NOT(ISERROR(SEARCH("L2 - Policies and Strategies REDD+ and Land-use",BG33)))</formula>
    </cfRule>
    <cfRule type="containsText" dxfId="1100" priority="217" operator="containsText" text="TBD/??">
      <formula>NOT(ISERROR(SEARCH("TBD/??",BG33)))</formula>
    </cfRule>
    <cfRule type="containsText" dxfId="1099" priority="218" operator="containsText" text="L1 - REDD+ Program Admin and Mgt">
      <formula>NOT(ISERROR(SEARCH("L1 - REDD+ Program Admin and Mgt",BG33)))</formula>
    </cfRule>
  </conditionalFormatting>
  <conditionalFormatting sqref="Q33 V33:AE33">
    <cfRule type="containsText" dxfId="1098" priority="213" operator="containsText" text="x">
      <formula>NOT(ISERROR(SEARCH("x",Q33)))</formula>
    </cfRule>
  </conditionalFormatting>
  <conditionalFormatting sqref="Q6:AE7">
    <cfRule type="containsText" dxfId="1097" priority="212" operator="containsText" text="x">
      <formula>NOT(ISERROR(SEARCH("x",Q6)))</formula>
    </cfRule>
  </conditionalFormatting>
  <conditionalFormatting sqref="Q24:AE24">
    <cfRule type="containsText" dxfId="1096" priority="211" operator="containsText" text="x">
      <formula>NOT(ISERROR(SEARCH("x",Q24)))</formula>
    </cfRule>
  </conditionalFormatting>
  <conditionalFormatting sqref="BG75">
    <cfRule type="containsText" dxfId="1095" priority="81" operator="containsText" text="L3 - Subprograms (in planning)">
      <formula>NOT(ISERROR(SEARCH("L3 - Subprograms (in planning)",BG75)))</formula>
    </cfRule>
    <cfRule type="containsText" dxfId="1094" priority="82" operator="containsText" text="L3 - Subprograms (w/plans)">
      <formula>NOT(ISERROR(SEARCH("L3 - Subprograms (w/plans)",BG75)))</formula>
    </cfRule>
    <cfRule type="containsText" dxfId="1093" priority="83" operator="containsText" text="L2 - Policies and Strategies REDD+ and Land-use">
      <formula>NOT(ISERROR(SEARCH("L2 - Policies and Strategies REDD+ and Land-use",BG75)))</formula>
    </cfRule>
    <cfRule type="containsText" dxfId="1092" priority="84" operator="containsText" text="TBD/??">
      <formula>NOT(ISERROR(SEARCH("TBD/??",BG75)))</formula>
    </cfRule>
    <cfRule type="containsText" dxfId="1091" priority="85" operator="containsText" text="L1 - REDD+ Program Admin and Mgt">
      <formula>NOT(ISERROR(SEARCH("L1 - REDD+ Program Admin and Mgt",BG75)))</formula>
    </cfRule>
  </conditionalFormatting>
  <conditionalFormatting sqref="BG6:BG7">
    <cfRule type="containsText" dxfId="1090" priority="206" operator="containsText" text="L3 - Subprograms (in planning)">
      <formula>NOT(ISERROR(SEARCH("L3 - Subprograms (in planning)",BG6)))</formula>
    </cfRule>
    <cfRule type="containsText" dxfId="1089" priority="207" operator="containsText" text="L3 - Subprograms (w/plans)">
      <formula>NOT(ISERROR(SEARCH("L3 - Subprograms (w/plans)",BG6)))</formula>
    </cfRule>
    <cfRule type="containsText" dxfId="1088" priority="208" operator="containsText" text="L2 - Policies and Strategies REDD+ and Land-use">
      <formula>NOT(ISERROR(SEARCH("L2 - Policies and Strategies REDD+ and Land-use",BG6)))</formula>
    </cfRule>
    <cfRule type="containsText" dxfId="1087" priority="209" operator="containsText" text="TBD/??">
      <formula>NOT(ISERROR(SEARCH("TBD/??",BG6)))</formula>
    </cfRule>
    <cfRule type="containsText" dxfId="1086" priority="210" operator="containsText" text="L1 - REDD+ Program Admin and Mgt">
      <formula>NOT(ISERROR(SEARCH("L1 - REDD+ Program Admin and Mgt",BG6)))</formula>
    </cfRule>
  </conditionalFormatting>
  <conditionalFormatting sqref="BG51">
    <cfRule type="containsText" dxfId="1085" priority="196" operator="containsText" text="L3 - Subprograms (in planning)">
      <formula>NOT(ISERROR(SEARCH("L3 - Subprograms (in planning)",BG51)))</formula>
    </cfRule>
    <cfRule type="containsText" dxfId="1084" priority="197" operator="containsText" text="L3 - Subprograms (w/plans)">
      <formula>NOT(ISERROR(SEARCH("L3 - Subprograms (w/plans)",BG51)))</formula>
    </cfRule>
    <cfRule type="containsText" dxfId="1083" priority="198" operator="containsText" text="L2 - Policies and Strategies REDD+ and Land-use">
      <formula>NOT(ISERROR(SEARCH("L2 - Policies and Strategies REDD+ and Land-use",BG51)))</formula>
    </cfRule>
    <cfRule type="containsText" dxfId="1082" priority="199" operator="containsText" text="TBD/??">
      <formula>NOT(ISERROR(SEARCH("TBD/??",BG51)))</formula>
    </cfRule>
    <cfRule type="containsText" dxfId="1081" priority="200" operator="containsText" text="L1 - REDD+ Program Admin and Mgt">
      <formula>NOT(ISERROR(SEARCH("L1 - REDD+ Program Admin and Mgt",BG51)))</formula>
    </cfRule>
  </conditionalFormatting>
  <conditionalFormatting sqref="BG98">
    <cfRule type="containsText" dxfId="1080" priority="191" operator="containsText" text="L3 - Subprograms (in planning)">
      <formula>NOT(ISERROR(SEARCH("L3 - Subprograms (in planning)",BG98)))</formula>
    </cfRule>
    <cfRule type="containsText" dxfId="1079" priority="192" operator="containsText" text="L3 - Subprograms (w/plans)">
      <formula>NOT(ISERROR(SEARCH("L3 - Subprograms (w/plans)",BG98)))</formula>
    </cfRule>
    <cfRule type="containsText" dxfId="1078" priority="193" operator="containsText" text="L2 - Policies and Strategies REDD+ and Land-use">
      <formula>NOT(ISERROR(SEARCH("L2 - Policies and Strategies REDD+ and Land-use",BG98)))</formula>
    </cfRule>
    <cfRule type="containsText" dxfId="1077" priority="194" operator="containsText" text="TBD/??">
      <formula>NOT(ISERROR(SEARCH("TBD/??",BG98)))</formula>
    </cfRule>
    <cfRule type="containsText" dxfId="1076" priority="195" operator="containsText" text="L1 - REDD+ Program Admin and Mgt">
      <formula>NOT(ISERROR(SEARCH("L1 - REDD+ Program Admin and Mgt",BG98)))</formula>
    </cfRule>
  </conditionalFormatting>
  <conditionalFormatting sqref="BG90">
    <cfRule type="containsText" dxfId="1075" priority="161" operator="containsText" text="L3 - Subprograms (in planning)">
      <formula>NOT(ISERROR(SEARCH("L3 - Subprograms (in planning)",BG90)))</formula>
    </cfRule>
    <cfRule type="containsText" dxfId="1074" priority="162" operator="containsText" text="L3 - Subprograms (w/plans)">
      <formula>NOT(ISERROR(SEARCH("L3 - Subprograms (w/plans)",BG90)))</formula>
    </cfRule>
    <cfRule type="containsText" dxfId="1073" priority="163" operator="containsText" text="L2 - Policies and Strategies REDD+ and Land-use">
      <formula>NOT(ISERROR(SEARCH("L2 - Policies and Strategies REDD+ and Land-use",BG90)))</formula>
    </cfRule>
    <cfRule type="containsText" dxfId="1072" priority="164" operator="containsText" text="TBD/??">
      <formula>NOT(ISERROR(SEARCH("TBD/??",BG90)))</formula>
    </cfRule>
    <cfRule type="containsText" dxfId="1071" priority="165" operator="containsText" text="L1 - REDD+ Program Admin and Mgt">
      <formula>NOT(ISERROR(SEARCH("L1 - REDD+ Program Admin and Mgt",BG90)))</formula>
    </cfRule>
  </conditionalFormatting>
  <conditionalFormatting sqref="BG71">
    <cfRule type="containsText" dxfId="1070" priority="181" operator="containsText" text="L3 - Subprograms (in planning)">
      <formula>NOT(ISERROR(SEARCH("L3 - Subprograms (in planning)",BG71)))</formula>
    </cfRule>
    <cfRule type="containsText" dxfId="1069" priority="182" operator="containsText" text="L3 - Subprograms (w/plans)">
      <formula>NOT(ISERROR(SEARCH("L3 - Subprograms (w/plans)",BG71)))</formula>
    </cfRule>
    <cfRule type="containsText" dxfId="1068" priority="183" operator="containsText" text="L2 - Policies and Strategies REDD+ and Land-use">
      <formula>NOT(ISERROR(SEARCH("L2 - Policies and Strategies REDD+ and Land-use",BG71)))</formula>
    </cfRule>
    <cfRule type="containsText" dxfId="1067" priority="184" operator="containsText" text="TBD/??">
      <formula>NOT(ISERROR(SEARCH("TBD/??",BG71)))</formula>
    </cfRule>
    <cfRule type="containsText" dxfId="1066" priority="185" operator="containsText" text="L1 - REDD+ Program Admin and Mgt">
      <formula>NOT(ISERROR(SEARCH("L1 - REDD+ Program Admin and Mgt",BG71)))</formula>
    </cfRule>
  </conditionalFormatting>
  <conditionalFormatting sqref="BG67">
    <cfRule type="containsText" dxfId="1065" priority="186" operator="containsText" text="L3 - Subprograms (in planning)">
      <formula>NOT(ISERROR(SEARCH("L3 - Subprograms (in planning)",BG67)))</formula>
    </cfRule>
    <cfRule type="containsText" dxfId="1064" priority="187" operator="containsText" text="L3 - Subprograms (w/plans)">
      <formula>NOT(ISERROR(SEARCH("L3 - Subprograms (w/plans)",BG67)))</formula>
    </cfRule>
    <cfRule type="containsText" dxfId="1063" priority="188" operator="containsText" text="L2 - Policies and Strategies REDD+ and Land-use">
      <formula>NOT(ISERROR(SEARCH("L2 - Policies and Strategies REDD+ and Land-use",BG67)))</formula>
    </cfRule>
    <cfRule type="containsText" dxfId="1062" priority="189" operator="containsText" text="TBD/??">
      <formula>NOT(ISERROR(SEARCH("TBD/??",BG67)))</formula>
    </cfRule>
    <cfRule type="containsText" dxfId="1061" priority="190" operator="containsText" text="L1 - REDD+ Program Admin and Mgt">
      <formula>NOT(ISERROR(SEARCH("L1 - REDD+ Program Admin and Mgt",BG67)))</formula>
    </cfRule>
  </conditionalFormatting>
  <conditionalFormatting sqref="BG77">
    <cfRule type="containsText" dxfId="1060" priority="176" operator="containsText" text="L3 - Subprograms (in planning)">
      <formula>NOT(ISERROR(SEARCH("L3 - Subprograms (in planning)",BG77)))</formula>
    </cfRule>
    <cfRule type="containsText" dxfId="1059" priority="177" operator="containsText" text="L3 - Subprograms (w/plans)">
      <formula>NOT(ISERROR(SEARCH("L3 - Subprograms (w/plans)",BG77)))</formula>
    </cfRule>
    <cfRule type="containsText" dxfId="1058" priority="178" operator="containsText" text="L2 - Policies and Strategies REDD+ and Land-use">
      <formula>NOT(ISERROR(SEARCH("L2 - Policies and Strategies REDD+ and Land-use",BG77)))</formula>
    </cfRule>
    <cfRule type="containsText" dxfId="1057" priority="179" operator="containsText" text="TBD/??">
      <formula>NOT(ISERROR(SEARCH("TBD/??",BG77)))</formula>
    </cfRule>
    <cfRule type="containsText" dxfId="1056" priority="180" operator="containsText" text="L1 - REDD+ Program Admin and Mgt">
      <formula>NOT(ISERROR(SEARCH("L1 - REDD+ Program Admin and Mgt",BG77)))</formula>
    </cfRule>
  </conditionalFormatting>
  <conditionalFormatting sqref="BG94">
    <cfRule type="containsText" dxfId="1055" priority="171" operator="containsText" text="L3 - Subprograms (in planning)">
      <formula>NOT(ISERROR(SEARCH("L3 - Subprograms (in planning)",BG94)))</formula>
    </cfRule>
    <cfRule type="containsText" dxfId="1054" priority="172" operator="containsText" text="L3 - Subprograms (w/plans)">
      <formula>NOT(ISERROR(SEARCH("L3 - Subprograms (w/plans)",BG94)))</formula>
    </cfRule>
    <cfRule type="containsText" dxfId="1053" priority="173" operator="containsText" text="L2 - Policies and Strategies REDD+ and Land-use">
      <formula>NOT(ISERROR(SEARCH("L2 - Policies and Strategies REDD+ and Land-use",BG94)))</formula>
    </cfRule>
    <cfRule type="containsText" dxfId="1052" priority="174" operator="containsText" text="TBD/??">
      <formula>NOT(ISERROR(SEARCH("TBD/??",BG94)))</formula>
    </cfRule>
    <cfRule type="containsText" dxfId="1051" priority="175" operator="containsText" text="L1 - REDD+ Program Admin and Mgt">
      <formula>NOT(ISERROR(SEARCH("L1 - REDD+ Program Admin and Mgt",BG94)))</formula>
    </cfRule>
  </conditionalFormatting>
  <conditionalFormatting sqref="BG96">
    <cfRule type="containsText" dxfId="1050" priority="166" operator="containsText" text="L3 - Subprograms (in planning)">
      <formula>NOT(ISERROR(SEARCH("L3 - Subprograms (in planning)",BG96)))</formula>
    </cfRule>
    <cfRule type="containsText" dxfId="1049" priority="167" operator="containsText" text="L3 - Subprograms (w/plans)">
      <formula>NOT(ISERROR(SEARCH("L3 - Subprograms (w/plans)",BG96)))</formula>
    </cfRule>
    <cfRule type="containsText" dxfId="1048" priority="168" operator="containsText" text="L2 - Policies and Strategies REDD+ and Land-use">
      <formula>NOT(ISERROR(SEARCH("L2 - Policies and Strategies REDD+ and Land-use",BG96)))</formula>
    </cfRule>
    <cfRule type="containsText" dxfId="1047" priority="169" operator="containsText" text="TBD/??">
      <formula>NOT(ISERROR(SEARCH("TBD/??",BG96)))</formula>
    </cfRule>
    <cfRule type="containsText" dxfId="1046" priority="170" operator="containsText" text="L1 - REDD+ Program Admin and Mgt">
      <formula>NOT(ISERROR(SEARCH("L1 - REDD+ Program Admin and Mgt",BG96)))</formula>
    </cfRule>
  </conditionalFormatting>
  <conditionalFormatting sqref="BG22">
    <cfRule type="containsText" dxfId="1045" priority="156" operator="containsText" text="L3 - Subprograms (in planning)">
      <formula>NOT(ISERROR(SEARCH("L3 - Subprograms (in planning)",BG22)))</formula>
    </cfRule>
    <cfRule type="containsText" dxfId="1044" priority="157" operator="containsText" text="L3 - Subprograms (w/plans)">
      <formula>NOT(ISERROR(SEARCH("L3 - Subprograms (w/plans)",BG22)))</formula>
    </cfRule>
    <cfRule type="containsText" dxfId="1043" priority="158" operator="containsText" text="L2 - Policies and Strategies REDD+ and Land-use">
      <formula>NOT(ISERROR(SEARCH("L2 - Policies and Strategies REDD+ and Land-use",BG22)))</formula>
    </cfRule>
    <cfRule type="containsText" dxfId="1042" priority="159" operator="containsText" text="TBD/??">
      <formula>NOT(ISERROR(SEARCH("TBD/??",BG22)))</formula>
    </cfRule>
    <cfRule type="containsText" dxfId="1041" priority="160" operator="containsText" text="L1 - REDD+ Program Admin and Mgt">
      <formula>NOT(ISERROR(SEARCH("L1 - REDD+ Program Admin and Mgt",BG22)))</formula>
    </cfRule>
  </conditionalFormatting>
  <conditionalFormatting sqref="BG31">
    <cfRule type="containsText" dxfId="1040" priority="151" operator="containsText" text="L3 - Subprograms (in planning)">
      <formula>NOT(ISERROR(SEARCH("L3 - Subprograms (in planning)",BG31)))</formula>
    </cfRule>
    <cfRule type="containsText" dxfId="1039" priority="152" operator="containsText" text="L3 - Subprograms (w/plans)">
      <formula>NOT(ISERROR(SEARCH("L3 - Subprograms (w/plans)",BG31)))</formula>
    </cfRule>
    <cfRule type="containsText" dxfId="1038" priority="153" operator="containsText" text="L2 - Policies and Strategies REDD+ and Land-use">
      <formula>NOT(ISERROR(SEARCH("L2 - Policies and Strategies REDD+ and Land-use",BG31)))</formula>
    </cfRule>
    <cfRule type="containsText" dxfId="1037" priority="154" operator="containsText" text="TBD/??">
      <formula>NOT(ISERROR(SEARCH("TBD/??",BG31)))</formula>
    </cfRule>
    <cfRule type="containsText" dxfId="1036" priority="155" operator="containsText" text="L1 - REDD+ Program Admin and Mgt">
      <formula>NOT(ISERROR(SEARCH("L1 - REDD+ Program Admin and Mgt",BG31)))</formula>
    </cfRule>
  </conditionalFormatting>
  <conditionalFormatting sqref="BG34">
    <cfRule type="containsText" dxfId="1035" priority="146" operator="containsText" text="L3 - Subprograms (in planning)">
      <formula>NOT(ISERROR(SEARCH("L3 - Subprograms (in planning)",BG34)))</formula>
    </cfRule>
    <cfRule type="containsText" dxfId="1034" priority="147" operator="containsText" text="L3 - Subprograms (w/plans)">
      <formula>NOT(ISERROR(SEARCH("L3 - Subprograms (w/plans)",BG34)))</formula>
    </cfRule>
    <cfRule type="containsText" dxfId="1033" priority="148" operator="containsText" text="L2 - Policies and Strategies REDD+ and Land-use">
      <formula>NOT(ISERROR(SEARCH("L2 - Policies and Strategies REDD+ and Land-use",BG34)))</formula>
    </cfRule>
    <cfRule type="containsText" dxfId="1032" priority="149" operator="containsText" text="TBD/??">
      <formula>NOT(ISERROR(SEARCH("TBD/??",BG34)))</formula>
    </cfRule>
    <cfRule type="containsText" dxfId="1031" priority="150" operator="containsText" text="L1 - REDD+ Program Admin and Mgt">
      <formula>NOT(ISERROR(SEARCH("L1 - REDD+ Program Admin and Mgt",BG34)))</formula>
    </cfRule>
  </conditionalFormatting>
  <conditionalFormatting sqref="BG62">
    <cfRule type="containsText" dxfId="1030" priority="141" operator="containsText" text="L3 - Subprograms (in planning)">
      <formula>NOT(ISERROR(SEARCH("L3 - Subprograms (in planning)",BG62)))</formula>
    </cfRule>
    <cfRule type="containsText" dxfId="1029" priority="142" operator="containsText" text="L3 - Subprograms (w/plans)">
      <formula>NOT(ISERROR(SEARCH("L3 - Subprograms (w/plans)",BG62)))</formula>
    </cfRule>
    <cfRule type="containsText" dxfId="1028" priority="143" operator="containsText" text="L2 - Policies and Strategies REDD+ and Land-use">
      <formula>NOT(ISERROR(SEARCH("L2 - Policies and Strategies REDD+ and Land-use",BG62)))</formula>
    </cfRule>
    <cfRule type="containsText" dxfId="1027" priority="144" operator="containsText" text="TBD/??">
      <formula>NOT(ISERROR(SEARCH("TBD/??",BG62)))</formula>
    </cfRule>
    <cfRule type="containsText" dxfId="1026" priority="145" operator="containsText" text="L1 - REDD+ Program Admin and Mgt">
      <formula>NOT(ISERROR(SEARCH("L1 - REDD+ Program Admin and Mgt",BG62)))</formula>
    </cfRule>
  </conditionalFormatting>
  <conditionalFormatting sqref="BG68">
    <cfRule type="containsText" dxfId="1025" priority="136" operator="containsText" text="L3 - Subprograms (in planning)">
      <formula>NOT(ISERROR(SEARCH("L3 - Subprograms (in planning)",BG68)))</formula>
    </cfRule>
    <cfRule type="containsText" dxfId="1024" priority="137" operator="containsText" text="L3 - Subprograms (w/plans)">
      <formula>NOT(ISERROR(SEARCH("L3 - Subprograms (w/plans)",BG68)))</formula>
    </cfRule>
    <cfRule type="containsText" dxfId="1023" priority="138" operator="containsText" text="L2 - Policies and Strategies REDD+ and Land-use">
      <formula>NOT(ISERROR(SEARCH("L2 - Policies and Strategies REDD+ and Land-use",BG68)))</formula>
    </cfRule>
    <cfRule type="containsText" dxfId="1022" priority="139" operator="containsText" text="TBD/??">
      <formula>NOT(ISERROR(SEARCH("TBD/??",BG68)))</formula>
    </cfRule>
    <cfRule type="containsText" dxfId="1021" priority="140" operator="containsText" text="L1 - REDD+ Program Admin and Mgt">
      <formula>NOT(ISERROR(SEARCH("L1 - REDD+ Program Admin and Mgt",BG68)))</formula>
    </cfRule>
  </conditionalFormatting>
  <conditionalFormatting sqref="BG69">
    <cfRule type="containsText" dxfId="1020" priority="131" operator="containsText" text="L3 - Subprograms (in planning)">
      <formula>NOT(ISERROR(SEARCH("L3 - Subprograms (in planning)",BG69)))</formula>
    </cfRule>
    <cfRule type="containsText" dxfId="1019" priority="132" operator="containsText" text="L3 - Subprograms (w/plans)">
      <formula>NOT(ISERROR(SEARCH("L3 - Subprograms (w/plans)",BG69)))</formula>
    </cfRule>
    <cfRule type="containsText" dxfId="1018" priority="133" operator="containsText" text="L2 - Policies and Strategies REDD+ and Land-use">
      <formula>NOT(ISERROR(SEARCH("L2 - Policies and Strategies REDD+ and Land-use",BG69)))</formula>
    </cfRule>
    <cfRule type="containsText" dxfId="1017" priority="134" operator="containsText" text="TBD/??">
      <formula>NOT(ISERROR(SEARCH("TBD/??",BG69)))</formula>
    </cfRule>
    <cfRule type="containsText" dxfId="1016" priority="135" operator="containsText" text="L1 - REDD+ Program Admin and Mgt">
      <formula>NOT(ISERROR(SEARCH("L1 - REDD+ Program Admin and Mgt",BG69)))</formula>
    </cfRule>
  </conditionalFormatting>
  <conditionalFormatting sqref="BG72">
    <cfRule type="containsText" dxfId="1015" priority="126" operator="containsText" text="L3 - Subprograms (in planning)">
      <formula>NOT(ISERROR(SEARCH("L3 - Subprograms (in planning)",BG72)))</formula>
    </cfRule>
    <cfRule type="containsText" dxfId="1014" priority="127" operator="containsText" text="L3 - Subprograms (w/plans)">
      <formula>NOT(ISERROR(SEARCH("L3 - Subprograms (w/plans)",BG72)))</formula>
    </cfRule>
    <cfRule type="containsText" dxfId="1013" priority="128" operator="containsText" text="L2 - Policies and Strategies REDD+ and Land-use">
      <formula>NOT(ISERROR(SEARCH("L2 - Policies and Strategies REDD+ and Land-use",BG72)))</formula>
    </cfRule>
    <cfRule type="containsText" dxfId="1012" priority="129" operator="containsText" text="TBD/??">
      <formula>NOT(ISERROR(SEARCH("TBD/??",BG72)))</formula>
    </cfRule>
    <cfRule type="containsText" dxfId="1011" priority="130" operator="containsText" text="L1 - REDD+ Program Admin and Mgt">
      <formula>NOT(ISERROR(SEARCH("L1 - REDD+ Program Admin and Mgt",BG72)))</formula>
    </cfRule>
  </conditionalFormatting>
  <conditionalFormatting sqref="BG73">
    <cfRule type="containsText" dxfId="1010" priority="121" operator="containsText" text="L3 - Subprograms (in planning)">
      <formula>NOT(ISERROR(SEARCH("L3 - Subprograms (in planning)",BG73)))</formula>
    </cfRule>
    <cfRule type="containsText" dxfId="1009" priority="122" operator="containsText" text="L3 - Subprograms (w/plans)">
      <formula>NOT(ISERROR(SEARCH("L3 - Subprograms (w/plans)",BG73)))</formula>
    </cfRule>
    <cfRule type="containsText" dxfId="1008" priority="123" operator="containsText" text="L2 - Policies and Strategies REDD+ and Land-use">
      <formula>NOT(ISERROR(SEARCH("L2 - Policies and Strategies REDD+ and Land-use",BG73)))</formula>
    </cfRule>
    <cfRule type="containsText" dxfId="1007" priority="124" operator="containsText" text="TBD/??">
      <formula>NOT(ISERROR(SEARCH("TBD/??",BG73)))</formula>
    </cfRule>
    <cfRule type="containsText" dxfId="1006" priority="125" operator="containsText" text="L1 - REDD+ Program Admin and Mgt">
      <formula>NOT(ISERROR(SEARCH("L1 - REDD+ Program Admin and Mgt",BG73)))</formula>
    </cfRule>
  </conditionalFormatting>
  <conditionalFormatting sqref="BG81">
    <cfRule type="containsText" dxfId="1005" priority="116" operator="containsText" text="L3 - Subprograms (in planning)">
      <formula>NOT(ISERROR(SEARCH("L3 - Subprograms (in planning)",BG81)))</formula>
    </cfRule>
    <cfRule type="containsText" dxfId="1004" priority="117" operator="containsText" text="L3 - Subprograms (w/plans)">
      <formula>NOT(ISERROR(SEARCH("L3 - Subprograms (w/plans)",BG81)))</formula>
    </cfRule>
    <cfRule type="containsText" dxfId="1003" priority="118" operator="containsText" text="L2 - Policies and Strategies REDD+ and Land-use">
      <formula>NOT(ISERROR(SEARCH("L2 - Policies and Strategies REDD+ and Land-use",BG81)))</formula>
    </cfRule>
    <cfRule type="containsText" dxfId="1002" priority="119" operator="containsText" text="TBD/??">
      <formula>NOT(ISERROR(SEARCH("TBD/??",BG81)))</formula>
    </cfRule>
    <cfRule type="containsText" dxfId="1001" priority="120" operator="containsText" text="L1 - REDD+ Program Admin and Mgt">
      <formula>NOT(ISERROR(SEARCH("L1 - REDD+ Program Admin and Mgt",BG81)))</formula>
    </cfRule>
  </conditionalFormatting>
  <conditionalFormatting sqref="BG84">
    <cfRule type="containsText" dxfId="1000" priority="111" operator="containsText" text="L3 - Subprograms (in planning)">
      <formula>NOT(ISERROR(SEARCH("L3 - Subprograms (in planning)",BG84)))</formula>
    </cfRule>
    <cfRule type="containsText" dxfId="999" priority="112" operator="containsText" text="L3 - Subprograms (w/plans)">
      <formula>NOT(ISERROR(SEARCH("L3 - Subprograms (w/plans)",BG84)))</formula>
    </cfRule>
    <cfRule type="containsText" dxfId="998" priority="113" operator="containsText" text="L2 - Policies and Strategies REDD+ and Land-use">
      <formula>NOT(ISERROR(SEARCH("L2 - Policies and Strategies REDD+ and Land-use",BG84)))</formula>
    </cfRule>
    <cfRule type="containsText" dxfId="997" priority="114" operator="containsText" text="TBD/??">
      <formula>NOT(ISERROR(SEARCH("TBD/??",BG84)))</formula>
    </cfRule>
    <cfRule type="containsText" dxfId="996" priority="115" operator="containsText" text="L1 - REDD+ Program Admin and Mgt">
      <formula>NOT(ISERROR(SEARCH("L1 - REDD+ Program Admin and Mgt",BG84)))</formula>
    </cfRule>
  </conditionalFormatting>
  <conditionalFormatting sqref="BG86">
    <cfRule type="containsText" dxfId="995" priority="106" operator="containsText" text="L3 - Subprograms (in planning)">
      <formula>NOT(ISERROR(SEARCH("L3 - Subprograms (in planning)",BG86)))</formula>
    </cfRule>
    <cfRule type="containsText" dxfId="994" priority="107" operator="containsText" text="L3 - Subprograms (w/plans)">
      <formula>NOT(ISERROR(SEARCH("L3 - Subprograms (w/plans)",BG86)))</formula>
    </cfRule>
    <cfRule type="containsText" dxfId="993" priority="108" operator="containsText" text="L2 - Policies and Strategies REDD+ and Land-use">
      <formula>NOT(ISERROR(SEARCH("L2 - Policies and Strategies REDD+ and Land-use",BG86)))</formula>
    </cfRule>
    <cfRule type="containsText" dxfId="992" priority="109" operator="containsText" text="TBD/??">
      <formula>NOT(ISERROR(SEARCH("TBD/??",BG86)))</formula>
    </cfRule>
    <cfRule type="containsText" dxfId="991" priority="110" operator="containsText" text="L1 - REDD+ Program Admin and Mgt">
      <formula>NOT(ISERROR(SEARCH("L1 - REDD+ Program Admin and Mgt",BG86)))</formula>
    </cfRule>
  </conditionalFormatting>
  <conditionalFormatting sqref="BG89">
    <cfRule type="containsText" dxfId="990" priority="101" operator="containsText" text="L3 - Subprograms (in planning)">
      <formula>NOT(ISERROR(SEARCH("L3 - Subprograms (in planning)",BG89)))</formula>
    </cfRule>
    <cfRule type="containsText" dxfId="989" priority="102" operator="containsText" text="L3 - Subprograms (w/plans)">
      <formula>NOT(ISERROR(SEARCH("L3 - Subprograms (w/plans)",BG89)))</formula>
    </cfRule>
    <cfRule type="containsText" dxfId="988" priority="103" operator="containsText" text="L2 - Policies and Strategies REDD+ and Land-use">
      <formula>NOT(ISERROR(SEARCH("L2 - Policies and Strategies REDD+ and Land-use",BG89)))</formula>
    </cfRule>
    <cfRule type="containsText" dxfId="987" priority="104" operator="containsText" text="TBD/??">
      <formula>NOT(ISERROR(SEARCH("TBD/??",BG89)))</formula>
    </cfRule>
    <cfRule type="containsText" dxfId="986" priority="105" operator="containsText" text="L1 - REDD+ Program Admin and Mgt">
      <formula>NOT(ISERROR(SEARCH("L1 - REDD+ Program Admin and Mgt",BG89)))</formula>
    </cfRule>
  </conditionalFormatting>
  <conditionalFormatting sqref="BG14:BG15">
    <cfRule type="containsText" dxfId="985" priority="96" operator="containsText" text="L3 - Subprograms (in planning)">
      <formula>NOT(ISERROR(SEARCH("L3 - Subprograms (in planning)",BG14)))</formula>
    </cfRule>
    <cfRule type="containsText" dxfId="984" priority="97" operator="containsText" text="L3 - Subprograms (w/plans)">
      <formula>NOT(ISERROR(SEARCH("L3 - Subprograms (w/plans)",BG14)))</formula>
    </cfRule>
    <cfRule type="containsText" dxfId="983" priority="98" operator="containsText" text="L2 - Policies and Strategies REDD+ and Land-use">
      <formula>NOT(ISERROR(SEARCH("L2 - Policies and Strategies REDD+ and Land-use",BG14)))</formula>
    </cfRule>
    <cfRule type="containsText" dxfId="982" priority="99" operator="containsText" text="TBD/??">
      <formula>NOT(ISERROR(SEARCH("TBD/??",BG14)))</formula>
    </cfRule>
    <cfRule type="containsText" dxfId="981" priority="100" operator="containsText" text="L1 - REDD+ Program Admin and Mgt">
      <formula>NOT(ISERROR(SEARCH("L1 - REDD+ Program Admin and Mgt",BG14)))</formula>
    </cfRule>
  </conditionalFormatting>
  <conditionalFormatting sqref="BG24">
    <cfRule type="containsText" dxfId="980" priority="91" operator="containsText" text="L3 - Subprograms (in planning)">
      <formula>NOT(ISERROR(SEARCH("L3 - Subprograms (in planning)",BG24)))</formula>
    </cfRule>
    <cfRule type="containsText" dxfId="979" priority="92" operator="containsText" text="L3 - Subprograms (w/plans)">
      <formula>NOT(ISERROR(SEARCH("L3 - Subprograms (w/plans)",BG24)))</formula>
    </cfRule>
    <cfRule type="containsText" dxfId="978" priority="93" operator="containsText" text="L2 - Policies and Strategies REDD+ and Land-use">
      <formula>NOT(ISERROR(SEARCH("L2 - Policies and Strategies REDD+ and Land-use",BG24)))</formula>
    </cfRule>
    <cfRule type="containsText" dxfId="977" priority="94" operator="containsText" text="TBD/??">
      <formula>NOT(ISERROR(SEARCH("TBD/??",BG24)))</formula>
    </cfRule>
    <cfRule type="containsText" dxfId="976" priority="95" operator="containsText" text="L1 - REDD+ Program Admin and Mgt">
      <formula>NOT(ISERROR(SEARCH("L1 - REDD+ Program Admin and Mgt",BG24)))</formula>
    </cfRule>
  </conditionalFormatting>
  <conditionalFormatting sqref="BG27">
    <cfRule type="containsText" dxfId="975" priority="86" operator="containsText" text="L3 - Subprograms (in planning)">
      <formula>NOT(ISERROR(SEARCH("L3 - Subprograms (in planning)",BG27)))</formula>
    </cfRule>
    <cfRule type="containsText" dxfId="974" priority="87" operator="containsText" text="L3 - Subprograms (w/plans)">
      <formula>NOT(ISERROR(SEARCH("L3 - Subprograms (w/plans)",BG27)))</formula>
    </cfRule>
    <cfRule type="containsText" dxfId="973" priority="88" operator="containsText" text="L2 - Policies and Strategies REDD+ and Land-use">
      <formula>NOT(ISERROR(SEARCH("L2 - Policies and Strategies REDD+ and Land-use",BG27)))</formula>
    </cfRule>
    <cfRule type="containsText" dxfId="972" priority="89" operator="containsText" text="TBD/??">
      <formula>NOT(ISERROR(SEARCH("TBD/??",BG27)))</formula>
    </cfRule>
    <cfRule type="containsText" dxfId="971" priority="90" operator="containsText" text="L1 - REDD+ Program Admin and Mgt">
      <formula>NOT(ISERROR(SEARCH("L1 - REDD+ Program Admin and Mgt",BG27)))</formula>
    </cfRule>
  </conditionalFormatting>
  <conditionalFormatting sqref="G9:G10">
    <cfRule type="containsText" dxfId="970" priority="80" operator="containsText" text="x">
      <formula>NOT(ISERROR(SEARCH("x",G9)))</formula>
    </cfRule>
  </conditionalFormatting>
  <conditionalFormatting sqref="BG10">
    <cfRule type="containsText" dxfId="969" priority="75" operator="containsText" text="L3 - Subprograms (in planning)">
      <formula>NOT(ISERROR(SEARCH("L3 - Subprograms (in planning)",BG10)))</formula>
    </cfRule>
    <cfRule type="containsText" dxfId="968" priority="76" operator="containsText" text="L3 - Subprograms (w/plans)">
      <formula>NOT(ISERROR(SEARCH("L3 - Subprograms (w/plans)",BG10)))</formula>
    </cfRule>
    <cfRule type="containsText" dxfId="967" priority="77" operator="containsText" text="L2 - Policies and Strategies REDD+ and Land-use">
      <formula>NOT(ISERROR(SEARCH("L2 - Policies and Strategies REDD+ and Land-use",BG10)))</formula>
    </cfRule>
    <cfRule type="containsText" dxfId="966" priority="78" operator="containsText" text="TBD/??">
      <formula>NOT(ISERROR(SEARCH("TBD/??",BG10)))</formula>
    </cfRule>
    <cfRule type="containsText" dxfId="965" priority="79" operator="containsText" text="L1 - REDD+ Program Admin and Mgt">
      <formula>NOT(ISERROR(SEARCH("L1 - REDD+ Program Admin and Mgt",BG10)))</formula>
    </cfRule>
  </conditionalFormatting>
  <conditionalFormatting sqref="Q9:AE10">
    <cfRule type="containsText" dxfId="964" priority="74" operator="containsText" text="x">
      <formula>NOT(ISERROR(SEARCH("x",Q9)))</formula>
    </cfRule>
  </conditionalFormatting>
  <conditionalFormatting sqref="BG9">
    <cfRule type="containsText" dxfId="963" priority="69" operator="containsText" text="L3 - Subprograms (in planning)">
      <formula>NOT(ISERROR(SEARCH("L3 - Subprograms (in planning)",BG9)))</formula>
    </cfRule>
    <cfRule type="containsText" dxfId="962" priority="70" operator="containsText" text="L3 - Subprograms (w/plans)">
      <formula>NOT(ISERROR(SEARCH("L3 - Subprograms (w/plans)",BG9)))</formula>
    </cfRule>
    <cfRule type="containsText" dxfId="961" priority="71" operator="containsText" text="L2 - Policies and Strategies REDD+ and Land-use">
      <formula>NOT(ISERROR(SEARCH("L2 - Policies and Strategies REDD+ and Land-use",BG9)))</formula>
    </cfRule>
    <cfRule type="containsText" dxfId="960" priority="72" operator="containsText" text="TBD/??">
      <formula>NOT(ISERROR(SEARCH("TBD/??",BG9)))</formula>
    </cfRule>
    <cfRule type="containsText" dxfId="959" priority="73" operator="containsText" text="L1 - REDD+ Program Admin and Mgt">
      <formula>NOT(ISERROR(SEARCH("L1 - REDD+ Program Admin and Mgt",BG9)))</formula>
    </cfRule>
  </conditionalFormatting>
  <conditionalFormatting sqref="BG79:BG80">
    <cfRule type="containsText" dxfId="958" priority="64" operator="containsText" text="L3 - Subprograms (in planning)">
      <formula>NOT(ISERROR(SEARCH("L3 - Subprograms (in planning)",BG79)))</formula>
    </cfRule>
    <cfRule type="containsText" dxfId="957" priority="65" operator="containsText" text="L3 - Subprograms (w/plans)">
      <formula>NOT(ISERROR(SEARCH("L3 - Subprograms (w/plans)",BG79)))</formula>
    </cfRule>
    <cfRule type="containsText" dxfId="956" priority="66" operator="containsText" text="L2 - Policies and Strategies REDD+ and Land-use">
      <formula>NOT(ISERROR(SEARCH("L2 - Policies and Strategies REDD+ and Land-use",BG79)))</formula>
    </cfRule>
    <cfRule type="containsText" dxfId="955" priority="67" operator="containsText" text="TBD/??">
      <formula>NOT(ISERROR(SEARCH("TBD/??",BG79)))</formula>
    </cfRule>
    <cfRule type="containsText" dxfId="954" priority="68" operator="containsText" text="L1 - REDD+ Program Admin and Mgt">
      <formula>NOT(ISERROR(SEARCH("L1 - REDD+ Program Admin and Mgt",BG79)))</formula>
    </cfRule>
  </conditionalFormatting>
  <conditionalFormatting sqref="Q79:AE80">
    <cfRule type="containsText" dxfId="953" priority="63" operator="containsText" text="x">
      <formula>NOT(ISERROR(SEARCH("x",Q79)))</formula>
    </cfRule>
  </conditionalFormatting>
  <conditionalFormatting sqref="Q8:AE8">
    <cfRule type="containsText" dxfId="952" priority="62" operator="containsText" text="x">
      <formula>NOT(ISERROR(SEARCH("x",Q8)))</formula>
    </cfRule>
  </conditionalFormatting>
  <conditionalFormatting sqref="BG20">
    <cfRule type="containsText" dxfId="951" priority="54" operator="containsText" text="L3 - Subprograms (in planning)">
      <formula>NOT(ISERROR(SEARCH("L3 - Subprograms (in planning)",BG20)))</formula>
    </cfRule>
    <cfRule type="containsText" dxfId="950" priority="55" operator="containsText" text="L3 - Subprograms (w/plans)">
      <formula>NOT(ISERROR(SEARCH("L3 - Subprograms (w/plans)",BG20)))</formula>
    </cfRule>
    <cfRule type="containsText" dxfId="949" priority="56" operator="containsText" text="L2 - Policies and Strategies REDD+ and Land-use">
      <formula>NOT(ISERROR(SEARCH("L2 - Policies and Strategies REDD+ and Land-use",BG20)))</formula>
    </cfRule>
    <cfRule type="containsText" dxfId="948" priority="57" operator="containsText" text="TBD/??">
      <formula>NOT(ISERROR(SEARCH("TBD/??",BG20)))</formula>
    </cfRule>
    <cfRule type="containsText" dxfId="947" priority="58" operator="containsText" text="L1 - REDD+ Program Admin and Mgt">
      <formula>NOT(ISERROR(SEARCH("L1 - REDD+ Program Admin and Mgt",BG20)))</formula>
    </cfRule>
  </conditionalFormatting>
  <conditionalFormatting sqref="BG43">
    <cfRule type="containsText" dxfId="946" priority="49" operator="containsText" text="L3 - Subprograms (in planning)">
      <formula>NOT(ISERROR(SEARCH("L3 - Subprograms (in planning)",BG43)))</formula>
    </cfRule>
    <cfRule type="containsText" dxfId="945" priority="50" operator="containsText" text="L3 - Subprograms (w/plans)">
      <formula>NOT(ISERROR(SEARCH("L3 - Subprograms (w/plans)",BG43)))</formula>
    </cfRule>
    <cfRule type="containsText" dxfId="944" priority="51" operator="containsText" text="L2 - Policies and Strategies REDD+ and Land-use">
      <formula>NOT(ISERROR(SEARCH("L2 - Policies and Strategies REDD+ and Land-use",BG43)))</formula>
    </cfRule>
    <cfRule type="containsText" dxfId="943" priority="52" operator="containsText" text="TBD/??">
      <formula>NOT(ISERROR(SEARCH("TBD/??",BG43)))</formula>
    </cfRule>
    <cfRule type="containsText" dxfId="942" priority="53" operator="containsText" text="L1 - REDD+ Program Admin and Mgt">
      <formula>NOT(ISERROR(SEARCH("L1 - REDD+ Program Admin and Mgt",BG43)))</formula>
    </cfRule>
  </conditionalFormatting>
  <conditionalFormatting sqref="Q43:AE43">
    <cfRule type="containsText" dxfId="941" priority="48" operator="containsText" text="x">
      <formula>NOT(ISERROR(SEARCH("x",Q43)))</formula>
    </cfRule>
  </conditionalFormatting>
  <conditionalFormatting sqref="BG44:BG45">
    <cfRule type="containsText" dxfId="940" priority="43" operator="containsText" text="L3 - Subprograms (in planning)">
      <formula>NOT(ISERROR(SEARCH("L3 - Subprograms (in planning)",BG44)))</formula>
    </cfRule>
    <cfRule type="containsText" dxfId="939" priority="44" operator="containsText" text="L3 - Subprograms (w/plans)">
      <formula>NOT(ISERROR(SEARCH("L3 - Subprograms (w/plans)",BG44)))</formula>
    </cfRule>
    <cfRule type="containsText" dxfId="938" priority="45" operator="containsText" text="L2 - Policies and Strategies REDD+ and Land-use">
      <formula>NOT(ISERROR(SEARCH("L2 - Policies and Strategies REDD+ and Land-use",BG44)))</formula>
    </cfRule>
    <cfRule type="containsText" dxfId="937" priority="46" operator="containsText" text="TBD/??">
      <formula>NOT(ISERROR(SEARCH("TBD/??",BG44)))</formula>
    </cfRule>
    <cfRule type="containsText" dxfId="936" priority="47" operator="containsText" text="L1 - REDD+ Program Admin and Mgt">
      <formula>NOT(ISERROR(SEARCH("L1 - REDD+ Program Admin and Mgt",BG44)))</formula>
    </cfRule>
  </conditionalFormatting>
  <conditionalFormatting sqref="Q44:AE45">
    <cfRule type="containsText" dxfId="935" priority="42" operator="containsText" text="x">
      <formula>NOT(ISERROR(SEARCH("x",Q44)))</formula>
    </cfRule>
  </conditionalFormatting>
  <conditionalFormatting sqref="BG47">
    <cfRule type="containsText" dxfId="934" priority="37" operator="containsText" text="L3 - Subprograms (in planning)">
      <formula>NOT(ISERROR(SEARCH("L3 - Subprograms (in planning)",BG47)))</formula>
    </cfRule>
    <cfRule type="containsText" dxfId="933" priority="38" operator="containsText" text="L3 - Subprograms (w/plans)">
      <formula>NOT(ISERROR(SEARCH("L3 - Subprograms (w/plans)",BG47)))</formula>
    </cfRule>
    <cfRule type="containsText" dxfId="932" priority="39" operator="containsText" text="L2 - Policies and Strategies REDD+ and Land-use">
      <formula>NOT(ISERROR(SEARCH("L2 - Policies and Strategies REDD+ and Land-use",BG47)))</formula>
    </cfRule>
    <cfRule type="containsText" dxfId="931" priority="40" operator="containsText" text="TBD/??">
      <formula>NOT(ISERROR(SEARCH("TBD/??",BG47)))</formula>
    </cfRule>
    <cfRule type="containsText" dxfId="930" priority="41" operator="containsText" text="L1 - REDD+ Program Admin and Mgt">
      <formula>NOT(ISERROR(SEARCH("L1 - REDD+ Program Admin and Mgt",BG47)))</formula>
    </cfRule>
  </conditionalFormatting>
  <conditionalFormatting sqref="Q47:AE47">
    <cfRule type="containsText" dxfId="929" priority="36" operator="containsText" text="x">
      <formula>NOT(ISERROR(SEARCH("x",Q47)))</formula>
    </cfRule>
  </conditionalFormatting>
  <conditionalFormatting sqref="Q53:AE53">
    <cfRule type="containsText" dxfId="928" priority="30" operator="containsText" text="x">
      <formula>NOT(ISERROR(SEARCH("x",Q53)))</formula>
    </cfRule>
  </conditionalFormatting>
  <conditionalFormatting sqref="BG53">
    <cfRule type="containsText" dxfId="927" priority="31" operator="containsText" text="L3 - Subprograms (in planning)">
      <formula>NOT(ISERROR(SEARCH("L3 - Subprograms (in planning)",BG53)))</formula>
    </cfRule>
    <cfRule type="containsText" dxfId="926" priority="32" operator="containsText" text="L3 - Subprograms (w/plans)">
      <formula>NOT(ISERROR(SEARCH("L3 - Subprograms (w/plans)",BG53)))</formula>
    </cfRule>
    <cfRule type="containsText" dxfId="925" priority="33" operator="containsText" text="L2 - Policies and Strategies REDD+ and Land-use">
      <formula>NOT(ISERROR(SEARCH("L2 - Policies and Strategies REDD+ and Land-use",BG53)))</formula>
    </cfRule>
    <cfRule type="containsText" dxfId="924" priority="34" operator="containsText" text="TBD/??">
      <formula>NOT(ISERROR(SEARCH("TBD/??",BG53)))</formula>
    </cfRule>
    <cfRule type="containsText" dxfId="923" priority="35" operator="containsText" text="L1 - REDD+ Program Admin and Mgt">
      <formula>NOT(ISERROR(SEARCH("L1 - REDD+ Program Admin and Mgt",BG53)))</formula>
    </cfRule>
  </conditionalFormatting>
  <conditionalFormatting sqref="BG61">
    <cfRule type="containsText" dxfId="922" priority="25" operator="containsText" text="L3 - Subprograms (in planning)">
      <formula>NOT(ISERROR(SEARCH("L3 - Subprograms (in planning)",BG61)))</formula>
    </cfRule>
    <cfRule type="containsText" dxfId="921" priority="26" operator="containsText" text="L3 - Subprograms (w/plans)">
      <formula>NOT(ISERROR(SEARCH("L3 - Subprograms (w/plans)",BG61)))</formula>
    </cfRule>
    <cfRule type="containsText" dxfId="920" priority="27" operator="containsText" text="L2 - Policies and Strategies REDD+ and Land-use">
      <formula>NOT(ISERROR(SEARCH("L2 - Policies and Strategies REDD+ and Land-use",BG61)))</formula>
    </cfRule>
    <cfRule type="containsText" dxfId="919" priority="28" operator="containsText" text="TBD/??">
      <formula>NOT(ISERROR(SEARCH("TBD/??",BG61)))</formula>
    </cfRule>
    <cfRule type="containsText" dxfId="918" priority="29" operator="containsText" text="L1 - REDD+ Program Admin and Mgt">
      <formula>NOT(ISERROR(SEARCH("L1 - REDD+ Program Admin and Mgt",BG61)))</formula>
    </cfRule>
  </conditionalFormatting>
  <conditionalFormatting sqref="Q61:AE61">
    <cfRule type="containsText" dxfId="917" priority="24" operator="containsText" text="x">
      <formula>NOT(ISERROR(SEARCH("x",Q61)))</formula>
    </cfRule>
  </conditionalFormatting>
  <conditionalFormatting sqref="Q58:AE58">
    <cfRule type="containsText" dxfId="916" priority="23" operator="containsText" text="x">
      <formula>NOT(ISERROR(SEARCH("x",Q58)))</formula>
    </cfRule>
  </conditionalFormatting>
  <conditionalFormatting sqref="Q12:R12 T12:AE12">
    <cfRule type="containsText" dxfId="915" priority="22" operator="containsText" text="x">
      <formula>NOT(ISERROR(SEARCH("x",Q12)))</formula>
    </cfRule>
  </conditionalFormatting>
  <conditionalFormatting sqref="G102">
    <cfRule type="containsText" dxfId="914" priority="21" operator="containsText" text="x">
      <formula>NOT(ISERROR(SEARCH("x",G102)))</formula>
    </cfRule>
  </conditionalFormatting>
  <conditionalFormatting sqref="BG17:BG18">
    <cfRule type="containsText" dxfId="913" priority="16" operator="containsText" text="L3 - Subprograms (in planning)">
      <formula>NOT(ISERROR(SEARCH("L3 - Subprograms (in planning)",BG17)))</formula>
    </cfRule>
    <cfRule type="containsText" dxfId="912" priority="17" operator="containsText" text="L3 - Subprograms (w/plans)">
      <formula>NOT(ISERROR(SEARCH("L3 - Subprograms (w/plans)",BG17)))</formula>
    </cfRule>
    <cfRule type="containsText" dxfId="911" priority="18" operator="containsText" text="L2 - Policies and Strategies REDD+ and Land-use">
      <formula>NOT(ISERROR(SEARCH("L2 - Policies and Strategies REDD+ and Land-use",BG17)))</formula>
    </cfRule>
    <cfRule type="containsText" dxfId="910" priority="19" operator="containsText" text="TBD/??">
      <formula>NOT(ISERROR(SEARCH("TBD/??",BG17)))</formula>
    </cfRule>
    <cfRule type="containsText" dxfId="909" priority="20" operator="containsText" text="L1 - REDD+ Program Admin and Mgt">
      <formula>NOT(ISERROR(SEARCH("L1 - REDD+ Program Admin and Mgt",BG17)))</formula>
    </cfRule>
  </conditionalFormatting>
  <conditionalFormatting sqref="BG12">
    <cfRule type="containsText" dxfId="908" priority="11" operator="containsText" text="L3 - Subprograms (in planning)">
      <formula>NOT(ISERROR(SEARCH("L3 - Subprograms (in planning)",BG12)))</formula>
    </cfRule>
    <cfRule type="containsText" dxfId="907" priority="12" operator="containsText" text="L3 - Subprograms (w/plans)">
      <formula>NOT(ISERROR(SEARCH("L3 - Subprograms (w/plans)",BG12)))</formula>
    </cfRule>
    <cfRule type="containsText" dxfId="906" priority="13" operator="containsText" text="L2 - Policies and Strategies REDD+ and Land-use">
      <formula>NOT(ISERROR(SEARCH("L2 - Policies and Strategies REDD+ and Land-use",BG12)))</formula>
    </cfRule>
    <cfRule type="containsText" dxfId="905" priority="14" operator="containsText" text="TBD/??">
      <formula>NOT(ISERROR(SEARCH("TBD/??",BG12)))</formula>
    </cfRule>
    <cfRule type="containsText" dxfId="904" priority="15" operator="containsText" text="L1 - REDD+ Program Admin and Mgt">
      <formula>NOT(ISERROR(SEARCH("L1 - REDD+ Program Admin and Mgt",BG12)))</formula>
    </cfRule>
  </conditionalFormatting>
  <conditionalFormatting sqref="BG58">
    <cfRule type="containsText" dxfId="903" priority="6" operator="containsText" text="L3 - Subprograms (in planning)">
      <formula>NOT(ISERROR(SEARCH("L3 - Subprograms (in planning)",BG58)))</formula>
    </cfRule>
    <cfRule type="containsText" dxfId="902" priority="7" operator="containsText" text="L3 - Subprograms (w/plans)">
      <formula>NOT(ISERROR(SEARCH("L3 - Subprograms (w/plans)",BG58)))</formula>
    </cfRule>
    <cfRule type="containsText" dxfId="901" priority="8" operator="containsText" text="L2 - Policies and Strategies REDD+ and Land-use">
      <formula>NOT(ISERROR(SEARCH("L2 - Policies and Strategies REDD+ and Land-use",BG58)))</formula>
    </cfRule>
    <cfRule type="containsText" dxfId="900" priority="9" operator="containsText" text="TBD/??">
      <formula>NOT(ISERROR(SEARCH("TBD/??",BG58)))</formula>
    </cfRule>
    <cfRule type="containsText" dxfId="899" priority="10" operator="containsText" text="L1 - REDD+ Program Admin and Mgt">
      <formula>NOT(ISERROR(SEARCH("L1 - REDD+ Program Admin and Mgt",BG58)))</formula>
    </cfRule>
  </conditionalFormatting>
  <conditionalFormatting sqref="BG8">
    <cfRule type="containsText" dxfId="898" priority="1" operator="containsText" text="L3 - Subprograms (in planning)">
      <formula>NOT(ISERROR(SEARCH("L3 - Subprograms (in planning)",BG8)))</formula>
    </cfRule>
    <cfRule type="containsText" dxfId="897" priority="2" operator="containsText" text="L3 - Subprograms (w/plans)">
      <formula>NOT(ISERROR(SEARCH("L3 - Subprograms (w/plans)",BG8)))</formula>
    </cfRule>
    <cfRule type="containsText" dxfId="896" priority="3" operator="containsText" text="L2 - Policies and Strategies REDD+ and Land-use">
      <formula>NOT(ISERROR(SEARCH("L2 - Policies and Strategies REDD+ and Land-use",BG8)))</formula>
    </cfRule>
    <cfRule type="containsText" dxfId="895" priority="4" operator="containsText" text="TBD/??">
      <formula>NOT(ISERROR(SEARCH("TBD/??",BG8)))</formula>
    </cfRule>
    <cfRule type="containsText" dxfId="894" priority="5" operator="containsText" text="L1 - REDD+ Program Admin and Mgt">
      <formula>NOT(ISERROR(SEARCH("L1 - REDD+ Program Admin and Mgt",BG8)))</formula>
    </cfRule>
  </conditionalFormatting>
  <dataValidations disablePrompts="1" count="1">
    <dataValidation type="list" allowBlank="1" showInputMessage="1" showErrorMessage="1" sqref="AG12 AG17:AG18 AG58 AG20 BG20 AG43:AG45 BG43:BG45 AG47 BG47 AG53 BG53 AG49 BG49 AG64 BG64 AG79:AG81 AG88 AG96 AG71 AG73 AG40 AG98 AG22 AG51 AG61:AG62 AG24 AG67:AG69 BG17:BG18 AG77 AG83:AG84 AG86 BG96 AG90 BG77 AG92:AG94 BG92:BG94 BG24 AG29 BG27:BG29 BG33:BG35 BG31 AG33:AG35 AG6:AG10 BG40 BG51 BG83:BG84 BG61:BG62 BG98 BG88:BG90 BG22 BG75 BG79:BG81 AG14:AG15 BG86 BG67:BG69 BG71:BG73 BG6:BG10 BG14:BG15 BG12 BG58">
      <formula1>#REF!</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302" operator="containsText" text="x" id="{2BEB83A1-8049-449C-902B-74F87CD1DBD7}">
            <xm:f>NOT(ISERROR(SEARCH("x",'\EEVA\Mis Archivos\Laborales\Casos FONAFIFO\Caso Estrategia REDD\Análisis\Implementación\[Costos Institucionales Nuevas PAMs ENREDD+ V3.xlsb]PAAs (E2015)'!#REF!)))</xm:f>
            <x14:dxf>
              <fill>
                <patternFill>
                  <bgColor theme="0" tint="-0.24994659260841701"/>
                </patternFill>
              </fill>
            </x14:dxf>
          </x14:cfRule>
          <xm:sqref>G89</xm:sqref>
        </x14:conditionalFormatting>
        <x14:conditionalFormatting xmlns:xm="http://schemas.microsoft.com/office/excel/2006/main">
          <x14:cfRule type="containsText" priority="316" operator="containsText" text="x" id="{D10EF3F0-EE93-44F9-A196-C95F39F6DC6D}">
            <xm:f>NOT(ISERROR(SEARCH("x",'\EEVA\Mis Archivos\Laborales\Casos FONAFIFO\Caso Estrategia REDD\Análisis\Implementación\[Costos Institucionales Nuevas PAMs ENREDD+ V3.xlsb]PAAs (E2015)'!#REF!)))</xm:f>
            <x14:dxf>
              <fill>
                <patternFill>
                  <bgColor theme="0" tint="-0.24994659260841701"/>
                </patternFill>
              </fill>
            </x14:dxf>
          </x14:cfRule>
          <xm:sqref>G17:G18</xm:sqref>
        </x14:conditionalFormatting>
        <x14:conditionalFormatting xmlns:xm="http://schemas.microsoft.com/office/excel/2006/main">
          <x14:cfRule type="containsText" priority="317" operator="containsText" text="x" id="{0336D7B5-C7DB-47CA-9CB7-CDF68DA47F85}">
            <xm:f>NOT(ISERROR(SEARCH("x",'\EEVA\Mis Archivos\Laborales\Casos FONAFIFO\Caso Estrategia REDD\Análisis\Implementación\[Costos Institucionales Nuevas PAMs ENREDD+ V3.xlsb]PAAs (E2015)'!#REF!)))</xm:f>
            <x14:dxf>
              <fill>
                <patternFill>
                  <bgColor theme="0" tint="-0.24994659260841701"/>
                </patternFill>
              </fill>
            </x14:dxf>
          </x14:cfRule>
          <xm:sqref>G20</xm:sqref>
        </x14:conditionalFormatting>
        <x14:conditionalFormatting xmlns:xm="http://schemas.microsoft.com/office/excel/2006/main">
          <x14:cfRule type="containsText" priority="288" operator="containsText" text="x" id="{BE923785-5C01-4EAC-AB12-87B53BF170D4}">
            <xm:f>NOT(ISERROR(SEARCH("x",'\EEVA\Mis Archivos\Laborales\Casos FONAFIFO\Caso Estrategia REDD\Análisis\Implementación\[Costos Institucionales Nuevas PAMs ENREDD+ V3.xlsb]PAAs (E2015)'!#REF!)))</xm:f>
            <x14:dxf>
              <fill>
                <patternFill>
                  <bgColor theme="0" tint="-0.24994659260841701"/>
                </patternFill>
              </fill>
            </x14:dxf>
          </x14:cfRule>
          <xm:sqref>G77</xm:sqref>
        </x14:conditionalFormatting>
        <x14:conditionalFormatting xmlns:xm="http://schemas.microsoft.com/office/excel/2006/main">
          <x14:cfRule type="containsText" priority="318" operator="containsText" text="x" id="{66B01351-921A-4BF6-88FE-84B7895AEB28}">
            <xm:f>NOT(ISERROR(SEARCH("x",'\EEVA\Mis Archivos\Laborales\Casos FONAFIFO\Caso Estrategia REDD\Análisis\Implementación\[Costos Institucionales Nuevas PAMs ENREDD+ V3.xlsb]PAAs (E2015)'!#REF!)))</xm:f>
            <x14:dxf>
              <fill>
                <patternFill>
                  <bgColor theme="0" tint="-0.24994659260841701"/>
                </patternFill>
              </fill>
            </x14:dxf>
          </x14:cfRule>
          <xm:sqref>G84</xm:sqref>
        </x14:conditionalFormatting>
        <x14:conditionalFormatting xmlns:xm="http://schemas.microsoft.com/office/excel/2006/main">
          <x14:cfRule type="containsText" priority="319" operator="containsText" text="x" id="{573DC4C9-2C3D-44EB-A042-0FA489C82C65}">
            <xm:f>NOT(ISERROR(SEARCH("x",'\EEVA\Mis Archivos\Laborales\Casos FONAFIFO\Caso Estrategia REDD\Análisis\Implementación\[Costos Institucionales Nuevas PAMs ENREDD+ V3.xlsb]PAAs (E2015)'!#REF!)))</xm:f>
            <x14:dxf>
              <fill>
                <patternFill>
                  <bgColor theme="0" tint="-0.24994659260841701"/>
                </patternFill>
              </fill>
            </x14:dxf>
          </x14:cfRule>
          <xm:sqref>G96</xm:sqref>
        </x14:conditionalFormatting>
        <x14:conditionalFormatting xmlns:xm="http://schemas.microsoft.com/office/excel/2006/main">
          <x14:cfRule type="containsText" priority="249" operator="containsText" text="x" id="{321D5B2C-0BC9-4BE1-A401-0C406C907564}">
            <xm:f>NOT(ISERROR(SEARCH("x",'\EEVA\Mis Archivos\Laborales\Casos FONAFIFO\Caso Estrategia REDD\Análisis\Implementación\[Costos Institucionales Nuevas PAMs ENREDD+ V3.xlsb]PAAs (E2015)'!#REF!)))</xm:f>
            <x14:dxf>
              <fill>
                <patternFill>
                  <bgColor theme="0" tint="-0.24994659260841701"/>
                </patternFill>
              </fill>
            </x14:dxf>
          </x14:cfRule>
          <xm:sqref>Q77:AE77</xm:sqref>
        </x14:conditionalFormatting>
        <x14:conditionalFormatting xmlns:xm="http://schemas.microsoft.com/office/excel/2006/main">
          <x14:cfRule type="containsText" priority="242" operator="containsText" text="x" id="{1F32A9D4-55A4-49DE-9CFD-ECC9BBE7723A}">
            <xm:f>NOT(ISERROR(SEARCH("x",'\EEVA\Mis Archivos\Laborales\Casos FONAFIFO\Caso Estrategia REDD\Análisis\Implementación\[Costos Institucionales Nuevas PAMs ENREDD+ V3.xlsb]PAAs (E2015)'!#REF!)))</xm:f>
            <x14:dxf>
              <fill>
                <patternFill>
                  <bgColor theme="0" tint="-0.24994659260841701"/>
                </patternFill>
              </fill>
            </x14:dxf>
          </x14:cfRule>
          <xm:sqref>Q84:AE84</xm:sqref>
        </x14:conditionalFormatting>
        <x14:conditionalFormatting xmlns:xm="http://schemas.microsoft.com/office/excel/2006/main">
          <x14:cfRule type="containsText" priority="227" operator="containsText" text="x" id="{6A251AB1-01F3-4B2A-9734-910D9832F1B5}">
            <xm:f>NOT(ISERROR(SEARCH("x",'\EEVA\Mis Archivos\Laborales\Casos FONAFIFO\Caso Estrategia REDD\Análisis\Implementación\[Costos Institucionales Nuevas PAMs ENREDD+ V3.xlsb]PAAs (E2015)'!#REF!)))</xm:f>
            <x14:dxf>
              <fill>
                <patternFill>
                  <bgColor theme="0" tint="-0.24994659260841701"/>
                </patternFill>
              </fill>
            </x14:dxf>
          </x14:cfRule>
          <xm:sqref>Q96:AE96</xm:sqref>
        </x14:conditionalFormatting>
        <x14:conditionalFormatting xmlns:xm="http://schemas.microsoft.com/office/excel/2006/main">
          <x14:cfRule type="containsText" priority="61" operator="containsText" text="x" id="{5C3B2527-A244-451B-B101-1729DF864E48}">
            <xm:f>NOT(ISERROR(SEARCH("x",'\EEVA\Mis Archivos\Laborales\Casos FONAFIFO\Caso Estrategia REDD\Análisis\Implementación\[Costos Institucionales Nuevas PAMs ENREDD+ V3.xlsb]PAAs (E2015)'!#REF!)))</xm:f>
            <x14:dxf>
              <fill>
                <patternFill>
                  <bgColor theme="0" tint="-0.24994659260841701"/>
                </patternFill>
              </fill>
            </x14:dxf>
          </x14:cfRule>
          <xm:sqref>Q17:AE17</xm:sqref>
        </x14:conditionalFormatting>
        <x14:conditionalFormatting xmlns:xm="http://schemas.microsoft.com/office/excel/2006/main">
          <x14:cfRule type="containsText" priority="60" operator="containsText" text="x" id="{305390D3-8FDA-4975-B66E-B1A53E83E5B8}">
            <xm:f>NOT(ISERROR(SEARCH("x",'\EEVA\Mis Archivos\Laborales\Casos FONAFIFO\Caso Estrategia REDD\Análisis\Implementación\[Costos Institucionales Nuevas PAMs ENREDD+ V3.xlsb]PAAs (E2015)'!#REF!)))</xm:f>
            <x14:dxf>
              <fill>
                <patternFill>
                  <bgColor theme="0" tint="-0.24994659260841701"/>
                </patternFill>
              </fill>
            </x14:dxf>
          </x14:cfRule>
          <xm:sqref>Q18:AE18</xm:sqref>
        </x14:conditionalFormatting>
        <x14:conditionalFormatting xmlns:xm="http://schemas.microsoft.com/office/excel/2006/main">
          <x14:cfRule type="containsText" priority="59" operator="containsText" text="x" id="{7E2FC24A-2784-40E4-96E7-F52BBBA3BE91}">
            <xm:f>NOT(ISERROR(SEARCH("x",'\EEVA\Mis Archivos\Laborales\Casos FONAFIFO\Caso Estrategia REDD\Análisis\Implementación\[Costos Institucionales Nuevas PAMs ENREDD+ V3.xlsb]PAAs (E2015)'!#REF!)))</xm:f>
            <x14:dxf>
              <fill>
                <patternFill>
                  <bgColor theme="0" tint="-0.24994659260841701"/>
                </patternFill>
              </fill>
            </x14:dxf>
          </x14:cfRule>
          <xm:sqref>Q20:AE20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27"/>
  <sheetViews>
    <sheetView showGridLines="0" zoomScale="106" zoomScaleNormal="106" zoomScalePageLayoutView="130" workbookViewId="0">
      <pane ySplit="3" topLeftCell="A25" activePane="bottomLeft" state="frozen"/>
      <selection pane="bottomLeft" activeCell="E33" sqref="E33"/>
    </sheetView>
  </sheetViews>
  <sheetFormatPr baseColWidth="10" defaultColWidth="8.7109375" defaultRowHeight="12.75" x14ac:dyDescent="0.25"/>
  <cols>
    <col min="1" max="1" width="4.85546875" style="102" customWidth="1"/>
    <col min="2" max="2" width="12.140625" style="102" customWidth="1"/>
    <col min="3" max="3" width="10.140625" style="102" customWidth="1"/>
    <col min="4" max="4" width="9.28515625" style="102" customWidth="1"/>
    <col min="5" max="5" width="67" style="102" customWidth="1"/>
    <col min="6" max="7" width="0" style="102" hidden="1" customWidth="1"/>
    <col min="8" max="8" width="14.7109375" style="102" hidden="1" customWidth="1"/>
    <col min="9" max="9" width="12.85546875" style="102" customWidth="1"/>
    <col min="10" max="10" width="13.5703125" style="102" customWidth="1"/>
    <col min="11" max="41" width="10.7109375" style="102" customWidth="1"/>
    <col min="42" max="42" width="8.7109375" style="102"/>
    <col min="43" max="43" width="9.7109375" style="102" bestFit="1" customWidth="1"/>
    <col min="44" max="48" width="8.7109375" style="102"/>
    <col min="49" max="49" width="12" style="102" customWidth="1"/>
    <col min="50" max="16384" width="8.7109375" style="102"/>
  </cols>
  <sheetData>
    <row r="1" spans="1:50" s="103" customFormat="1" ht="24.95" customHeight="1" thickBot="1" x14ac:dyDescent="0.3">
      <c r="A1" s="102"/>
      <c r="B1" s="102"/>
      <c r="C1" s="102"/>
      <c r="D1" s="102"/>
      <c r="E1" s="102"/>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5"/>
    </row>
    <row r="2" spans="1:50" s="103" customFormat="1" ht="29.25" customHeight="1" x14ac:dyDescent="0.25">
      <c r="A2" s="104" t="s">
        <v>354</v>
      </c>
      <c r="B2" s="567" t="s">
        <v>0</v>
      </c>
      <c r="C2" s="568"/>
      <c r="D2" s="568"/>
      <c r="E2" s="565" t="s">
        <v>416</v>
      </c>
      <c r="F2" s="571" t="s">
        <v>273</v>
      </c>
      <c r="G2" s="571" t="s">
        <v>274</v>
      </c>
      <c r="H2" s="581" t="s">
        <v>275</v>
      </c>
      <c r="I2" s="583" t="s">
        <v>276</v>
      </c>
      <c r="J2" s="584"/>
      <c r="K2" s="584"/>
      <c r="L2" s="584"/>
      <c r="M2" s="584"/>
      <c r="N2" s="584"/>
      <c r="O2" s="584"/>
      <c r="P2" s="584"/>
      <c r="Q2" s="584"/>
      <c r="R2" s="585"/>
      <c r="S2" s="584" t="s">
        <v>277</v>
      </c>
      <c r="T2" s="584"/>
      <c r="U2" s="584"/>
      <c r="V2" s="584"/>
      <c r="W2" s="583" t="s">
        <v>278</v>
      </c>
      <c r="X2" s="584"/>
      <c r="Y2" s="584"/>
      <c r="Z2" s="584"/>
      <c r="AA2" s="584"/>
      <c r="AB2" s="584"/>
      <c r="AC2" s="584"/>
      <c r="AD2" s="584"/>
      <c r="AE2" s="585"/>
      <c r="AF2" s="584" t="s">
        <v>279</v>
      </c>
      <c r="AG2" s="584"/>
      <c r="AH2" s="584"/>
      <c r="AI2" s="584"/>
      <c r="AJ2" s="584"/>
      <c r="AK2" s="584"/>
      <c r="AL2" s="584"/>
      <c r="AM2" s="584"/>
      <c r="AN2" s="584"/>
      <c r="AO2" s="584"/>
      <c r="AP2" s="583" t="s">
        <v>280</v>
      </c>
      <c r="AQ2" s="584"/>
      <c r="AR2" s="584"/>
      <c r="AS2" s="584"/>
      <c r="AT2" s="584"/>
      <c r="AU2" s="584"/>
      <c r="AV2" s="584"/>
      <c r="AW2" s="584"/>
      <c r="AX2" s="586"/>
    </row>
    <row r="3" spans="1:50" s="103" customFormat="1" ht="46.5" customHeight="1" x14ac:dyDescent="0.25">
      <c r="A3" s="106"/>
      <c r="B3" s="107" t="s">
        <v>143</v>
      </c>
      <c r="C3" s="108" t="s">
        <v>417</v>
      </c>
      <c r="D3" s="108" t="s">
        <v>418</v>
      </c>
      <c r="E3" s="566"/>
      <c r="F3" s="571"/>
      <c r="G3" s="571"/>
      <c r="H3" s="582"/>
      <c r="I3" s="114">
        <v>2017</v>
      </c>
      <c r="J3" s="115">
        <v>2018</v>
      </c>
      <c r="K3" s="115">
        <v>2019</v>
      </c>
      <c r="L3" s="115">
        <v>2020</v>
      </c>
      <c r="M3" s="115">
        <v>2021</v>
      </c>
      <c r="N3" s="115">
        <v>2022</v>
      </c>
      <c r="O3" s="115">
        <v>2023</v>
      </c>
      <c r="P3" s="115">
        <v>2024</v>
      </c>
      <c r="Q3" s="115">
        <v>2025</v>
      </c>
      <c r="R3" s="116" t="s">
        <v>292</v>
      </c>
      <c r="S3" s="117" t="s">
        <v>293</v>
      </c>
      <c r="T3" s="115" t="s">
        <v>294</v>
      </c>
      <c r="U3" s="115" t="s">
        <v>295</v>
      </c>
      <c r="V3" s="118" t="s">
        <v>296</v>
      </c>
      <c r="W3" s="114">
        <v>2017</v>
      </c>
      <c r="X3" s="115">
        <v>2018</v>
      </c>
      <c r="Y3" s="115">
        <v>2019</v>
      </c>
      <c r="Z3" s="115">
        <v>2020</v>
      </c>
      <c r="AA3" s="115">
        <v>2021</v>
      </c>
      <c r="AB3" s="115">
        <v>2022</v>
      </c>
      <c r="AC3" s="115">
        <v>2023</v>
      </c>
      <c r="AD3" s="115">
        <v>2024</v>
      </c>
      <c r="AE3" s="116">
        <v>2025</v>
      </c>
      <c r="AF3" s="119">
        <v>2017</v>
      </c>
      <c r="AG3" s="120">
        <v>2018</v>
      </c>
      <c r="AH3" s="120">
        <v>2019</v>
      </c>
      <c r="AI3" s="120">
        <v>2020</v>
      </c>
      <c r="AJ3" s="120">
        <v>2021</v>
      </c>
      <c r="AK3" s="120">
        <v>2022</v>
      </c>
      <c r="AL3" s="120">
        <v>2023</v>
      </c>
      <c r="AM3" s="120">
        <v>2024</v>
      </c>
      <c r="AN3" s="120">
        <v>2025</v>
      </c>
      <c r="AO3" s="121" t="s">
        <v>297</v>
      </c>
      <c r="AP3" s="114" t="s">
        <v>298</v>
      </c>
      <c r="AQ3" s="115" t="s">
        <v>299</v>
      </c>
      <c r="AR3" s="115" t="s">
        <v>300</v>
      </c>
      <c r="AS3" s="115" t="s">
        <v>301</v>
      </c>
      <c r="AT3" s="115" t="s">
        <v>302</v>
      </c>
      <c r="AU3" s="115" t="s">
        <v>303</v>
      </c>
      <c r="AV3" s="115" t="s">
        <v>304</v>
      </c>
      <c r="AW3" s="115" t="s">
        <v>305</v>
      </c>
      <c r="AX3" s="122" t="s">
        <v>306</v>
      </c>
    </row>
    <row r="4" spans="1:50" s="103" customFormat="1" ht="26.1" customHeight="1" x14ac:dyDescent="0.25">
      <c r="A4" s="124"/>
      <c r="B4" s="125"/>
      <c r="C4" s="126"/>
      <c r="D4" s="127"/>
      <c r="E4" s="123" t="s">
        <v>7</v>
      </c>
      <c r="F4" s="126"/>
      <c r="G4" s="134"/>
      <c r="H4" s="135">
        <v>0</v>
      </c>
      <c r="I4" s="136">
        <v>2362607.749090909</v>
      </c>
      <c r="J4" s="133">
        <v>6218861.0597454552</v>
      </c>
      <c r="K4" s="133">
        <v>6327502.9745378178</v>
      </c>
      <c r="L4" s="133">
        <v>6441137.2054694081</v>
      </c>
      <c r="M4" s="133">
        <v>6560000.1749591706</v>
      </c>
      <c r="N4" s="133">
        <v>6684339.7307453677</v>
      </c>
      <c r="O4" s="133">
        <v>6814415.7052774737</v>
      </c>
      <c r="P4" s="133">
        <v>6950500.5027214857</v>
      </c>
      <c r="Q4" s="133">
        <v>7092879.7149485582</v>
      </c>
      <c r="R4" s="137">
        <v>55452244.817495652</v>
      </c>
      <c r="S4" s="136">
        <f>+S5+S11+S13+S16+S19+S21+S23</f>
        <v>25447881.181132007</v>
      </c>
      <c r="T4" s="133"/>
      <c r="U4" s="133">
        <f>+U5+U11+U13+U16+U19+U21+U23</f>
        <v>30004363.636363637</v>
      </c>
      <c r="V4" s="139"/>
      <c r="W4" s="136">
        <v>3906863.2945454544</v>
      </c>
      <c r="X4" s="133">
        <v>8881418.4733818192</v>
      </c>
      <c r="Y4" s="133">
        <v>8763092.022492364</v>
      </c>
      <c r="Z4" s="133">
        <v>8926951.1914580427</v>
      </c>
      <c r="AA4" s="133">
        <v>9074335.8195436019</v>
      </c>
      <c r="AB4" s="133">
        <v>9253602.1547251847</v>
      </c>
      <c r="AC4" s="133">
        <v>9441123.6566283423</v>
      </c>
      <c r="AD4" s="133">
        <v>9637291.8390880246</v>
      </c>
      <c r="AE4" s="137">
        <v>9842517.1542959046</v>
      </c>
      <c r="AF4" s="136">
        <f>+AF5+AF11+AF13+AF16+AF19+AF21+AF23</f>
        <v>1638801</v>
      </c>
      <c r="AG4" s="133">
        <f>+AG5+AG11+AG13+AG16+AG19+AG21+AG23</f>
        <v>2851648.3227272728</v>
      </c>
      <c r="AH4" s="133">
        <f t="shared" ref="AH4:AN4" si="0">+AH5+AH11+AH13+AH16+AH19+AH21+AH23</f>
        <v>2719225.4115909091</v>
      </c>
      <c r="AI4" s="133">
        <f t="shared" si="0"/>
        <v>2863995.8041704544</v>
      </c>
      <c r="AJ4" s="133">
        <f t="shared" si="0"/>
        <v>2987062.9173117047</v>
      </c>
      <c r="AK4" s="133">
        <f t="shared" si="0"/>
        <v>3136535.1512525445</v>
      </c>
      <c r="AL4" s="133">
        <f t="shared" si="0"/>
        <v>3288526.133169048</v>
      </c>
      <c r="AM4" s="133">
        <f t="shared" si="0"/>
        <v>3443154.9727301742</v>
      </c>
      <c r="AN4" s="133">
        <f t="shared" si="0"/>
        <v>3529637.4393473458</v>
      </c>
      <c r="AO4" s="137">
        <f>SUM(AF4:AN4)</f>
        <v>26458587.152299453</v>
      </c>
      <c r="AP4" s="138"/>
      <c r="AQ4" s="140">
        <v>1069000</v>
      </c>
      <c r="AR4" s="126"/>
      <c r="AS4" s="126"/>
      <c r="AT4" s="126"/>
      <c r="AU4" s="126"/>
      <c r="AV4" s="126"/>
      <c r="AW4" s="141">
        <v>13267217.338337235</v>
      </c>
      <c r="AX4" s="132"/>
    </row>
    <row r="5" spans="1:50" s="103" customFormat="1" ht="26.1" customHeight="1" x14ac:dyDescent="0.25">
      <c r="A5" s="144" t="s">
        <v>355</v>
      </c>
      <c r="B5" s="59" t="s">
        <v>488</v>
      </c>
      <c r="C5" s="145"/>
      <c r="D5" s="146"/>
      <c r="E5" s="143" t="s">
        <v>486</v>
      </c>
      <c r="F5" s="154" t="s">
        <v>355</v>
      </c>
      <c r="G5" s="155"/>
      <c r="H5" s="156">
        <v>0</v>
      </c>
      <c r="I5" s="157">
        <v>711617.47636363632</v>
      </c>
      <c r="J5" s="152">
        <v>4483511.4552000007</v>
      </c>
      <c r="K5" s="152">
        <v>4505500.4352196362</v>
      </c>
      <c r="L5" s="152">
        <v>4528149.0846398622</v>
      </c>
      <c r="M5" s="152">
        <v>4551477.1935426937</v>
      </c>
      <c r="N5" s="152">
        <v>4575505.1457126113</v>
      </c>
      <c r="O5" s="152">
        <v>4600253.936447626</v>
      </c>
      <c r="P5" s="152">
        <v>4625745.1909046909</v>
      </c>
      <c r="Q5" s="152">
        <v>4652001.1829954684</v>
      </c>
      <c r="R5" s="156">
        <v>37233761.101026222</v>
      </c>
      <c r="S5" s="380">
        <f>+R6*S6+R7*S7+R8*S8+R9*S9+R10*S10</f>
        <v>7229397.4646625891</v>
      </c>
      <c r="T5" s="145"/>
      <c r="U5" s="161">
        <f>+R6*U6+R7*U7+R8*U8+R9*U9+R10*U10</f>
        <v>30004363.636363637</v>
      </c>
      <c r="V5" s="159"/>
      <c r="W5" s="157">
        <v>882617.47636363632</v>
      </c>
      <c r="X5" s="152">
        <v>6085550.5461090915</v>
      </c>
      <c r="Y5" s="152">
        <v>6117953.4261287274</v>
      </c>
      <c r="Z5" s="152">
        <v>6151328.3925489532</v>
      </c>
      <c r="AA5" s="152">
        <v>6185704.607961785</v>
      </c>
      <c r="AB5" s="152">
        <v>6221112.1098370021</v>
      </c>
      <c r="AC5" s="152">
        <v>6257581.8367684763</v>
      </c>
      <c r="AD5" s="152">
        <v>6295145.6555078942</v>
      </c>
      <c r="AE5" s="156">
        <v>6333836.3888094947</v>
      </c>
      <c r="AF5" s="157">
        <v>171000</v>
      </c>
      <c r="AG5" s="152">
        <v>1602039.0909090908</v>
      </c>
      <c r="AH5" s="152">
        <v>1612452.990909091</v>
      </c>
      <c r="AI5" s="152">
        <v>1623179.3079090908</v>
      </c>
      <c r="AJ5" s="152">
        <v>1634227.4144190908</v>
      </c>
      <c r="AK5" s="152">
        <v>1645606.9641243909</v>
      </c>
      <c r="AL5" s="152">
        <v>1657327.9003208498</v>
      </c>
      <c r="AM5" s="152">
        <v>1669400.4646032027</v>
      </c>
      <c r="AN5" s="152">
        <v>1681835.2058140261</v>
      </c>
      <c r="AO5" s="156">
        <v>13297069.33900883</v>
      </c>
      <c r="AP5" s="158"/>
      <c r="AQ5" s="160">
        <v>0</v>
      </c>
      <c r="AR5" s="145"/>
      <c r="AS5" s="145"/>
      <c r="AT5" s="145"/>
      <c r="AU5" s="145"/>
      <c r="AV5" s="145"/>
      <c r="AW5" s="161">
        <v>12955069.339008832</v>
      </c>
      <c r="AX5" s="151"/>
    </row>
    <row r="6" spans="1:50" s="103" customFormat="1" ht="26.1" customHeight="1" x14ac:dyDescent="0.25">
      <c r="A6" s="164" t="s">
        <v>355</v>
      </c>
      <c r="B6" s="74" t="s">
        <v>9</v>
      </c>
      <c r="C6" s="75" t="s">
        <v>402</v>
      </c>
      <c r="D6" s="75" t="s">
        <v>373</v>
      </c>
      <c r="E6" s="163" t="s">
        <v>374</v>
      </c>
      <c r="F6" s="171" t="s">
        <v>312</v>
      </c>
      <c r="G6" s="75" t="s">
        <v>313</v>
      </c>
      <c r="H6" s="172">
        <v>0</v>
      </c>
      <c r="I6" s="173">
        <v>0</v>
      </c>
      <c r="J6" s="174">
        <v>3750000</v>
      </c>
      <c r="K6" s="174">
        <v>3750000</v>
      </c>
      <c r="L6" s="174">
        <v>3750000</v>
      </c>
      <c r="M6" s="174">
        <v>3750000</v>
      </c>
      <c r="N6" s="174">
        <v>3750000</v>
      </c>
      <c r="O6" s="174">
        <v>3750000</v>
      </c>
      <c r="P6" s="174">
        <v>3750000</v>
      </c>
      <c r="Q6" s="174">
        <v>3750000</v>
      </c>
      <c r="R6" s="175">
        <v>30000000</v>
      </c>
      <c r="S6" s="176"/>
      <c r="T6" s="75"/>
      <c r="U6" s="177">
        <v>1</v>
      </c>
      <c r="V6" s="178" t="s">
        <v>383</v>
      </c>
      <c r="W6" s="173">
        <v>0</v>
      </c>
      <c r="X6" s="174">
        <v>5000000</v>
      </c>
      <c r="Y6" s="174">
        <v>5000000</v>
      </c>
      <c r="Z6" s="174">
        <v>5000000</v>
      </c>
      <c r="AA6" s="174">
        <v>5000000</v>
      </c>
      <c r="AB6" s="174">
        <v>5000000</v>
      </c>
      <c r="AC6" s="174">
        <v>5000000</v>
      </c>
      <c r="AD6" s="174">
        <v>5000000</v>
      </c>
      <c r="AE6" s="175">
        <v>5000000</v>
      </c>
      <c r="AF6" s="173">
        <v>0</v>
      </c>
      <c r="AG6" s="174">
        <v>1250000</v>
      </c>
      <c r="AH6" s="174">
        <v>1250000</v>
      </c>
      <c r="AI6" s="174">
        <v>1250000</v>
      </c>
      <c r="AJ6" s="174">
        <v>1250000</v>
      </c>
      <c r="AK6" s="174">
        <v>1250000</v>
      </c>
      <c r="AL6" s="174">
        <v>1250000</v>
      </c>
      <c r="AM6" s="174">
        <v>1250000</v>
      </c>
      <c r="AN6" s="174">
        <v>1250000</v>
      </c>
      <c r="AO6" s="175">
        <v>10000000</v>
      </c>
      <c r="AP6" s="179"/>
      <c r="AQ6" s="180"/>
      <c r="AR6" s="180"/>
      <c r="AS6" s="169"/>
      <c r="AT6" s="169"/>
      <c r="AU6" s="169"/>
      <c r="AV6" s="169"/>
      <c r="AW6" s="181">
        <v>10000000</v>
      </c>
      <c r="AX6" s="182" t="s">
        <v>375</v>
      </c>
    </row>
    <row r="7" spans="1:50" s="103" customFormat="1" ht="26.1" customHeight="1" x14ac:dyDescent="0.25">
      <c r="A7" s="185"/>
      <c r="B7" s="80"/>
      <c r="C7" s="81"/>
      <c r="D7" s="81"/>
      <c r="E7" s="184"/>
      <c r="F7" s="191"/>
      <c r="G7" s="81"/>
      <c r="H7" s="192">
        <v>0</v>
      </c>
      <c r="I7" s="193">
        <v>0</v>
      </c>
      <c r="J7" s="194">
        <v>0</v>
      </c>
      <c r="K7" s="194">
        <v>0</v>
      </c>
      <c r="L7" s="194">
        <v>0</v>
      </c>
      <c r="M7" s="194">
        <v>0</v>
      </c>
      <c r="N7" s="194">
        <v>0</v>
      </c>
      <c r="O7" s="194">
        <v>0</v>
      </c>
      <c r="P7" s="194">
        <v>0</v>
      </c>
      <c r="Q7" s="194">
        <v>0</v>
      </c>
      <c r="R7" s="195">
        <v>0</v>
      </c>
      <c r="S7" s="196"/>
      <c r="T7" s="81"/>
      <c r="U7" s="197"/>
      <c r="V7" s="198"/>
      <c r="W7" s="193">
        <v>0</v>
      </c>
      <c r="X7" s="194">
        <v>0</v>
      </c>
      <c r="Y7" s="194">
        <v>0</v>
      </c>
      <c r="Z7" s="194">
        <v>0</v>
      </c>
      <c r="AA7" s="194">
        <v>0</v>
      </c>
      <c r="AB7" s="194">
        <v>0</v>
      </c>
      <c r="AC7" s="194">
        <v>0</v>
      </c>
      <c r="AD7" s="194">
        <v>0</v>
      </c>
      <c r="AE7" s="195">
        <v>0</v>
      </c>
      <c r="AF7" s="193">
        <v>0</v>
      </c>
      <c r="AG7" s="194">
        <v>0</v>
      </c>
      <c r="AH7" s="194">
        <v>0</v>
      </c>
      <c r="AI7" s="194">
        <v>0</v>
      </c>
      <c r="AJ7" s="194">
        <v>0</v>
      </c>
      <c r="AK7" s="194">
        <v>0</v>
      </c>
      <c r="AL7" s="194">
        <v>0</v>
      </c>
      <c r="AM7" s="194">
        <v>0</v>
      </c>
      <c r="AN7" s="194">
        <v>0</v>
      </c>
      <c r="AO7" s="195">
        <v>0</v>
      </c>
      <c r="AP7" s="199"/>
      <c r="AQ7" s="200"/>
      <c r="AR7" s="200"/>
      <c r="AS7" s="190"/>
      <c r="AT7" s="190"/>
      <c r="AU7" s="190"/>
      <c r="AV7" s="190"/>
      <c r="AW7" s="201">
        <v>0</v>
      </c>
      <c r="AX7" s="202"/>
    </row>
    <row r="8" spans="1:50" s="103" customFormat="1" ht="26.1" customHeight="1" x14ac:dyDescent="0.25">
      <c r="A8" s="205" t="s">
        <v>356</v>
      </c>
      <c r="B8" s="47" t="s">
        <v>4</v>
      </c>
      <c r="C8" s="48" t="s">
        <v>462</v>
      </c>
      <c r="D8" s="48" t="s">
        <v>397</v>
      </c>
      <c r="E8" s="204" t="s">
        <v>10</v>
      </c>
      <c r="F8" s="68" t="s">
        <v>312</v>
      </c>
      <c r="G8" s="48" t="s">
        <v>313</v>
      </c>
      <c r="H8" s="211">
        <v>0</v>
      </c>
      <c r="I8" s="212">
        <v>0</v>
      </c>
      <c r="J8" s="170">
        <v>545.4545454545455</v>
      </c>
      <c r="K8" s="170">
        <v>545.4545454545455</v>
      </c>
      <c r="L8" s="170">
        <v>545.4545454545455</v>
      </c>
      <c r="M8" s="170">
        <v>545.4545454545455</v>
      </c>
      <c r="N8" s="170">
        <v>545.4545454545455</v>
      </c>
      <c r="O8" s="170">
        <v>545.4545454545455</v>
      </c>
      <c r="P8" s="170">
        <v>545.4545454545455</v>
      </c>
      <c r="Q8" s="170">
        <v>545.4545454545455</v>
      </c>
      <c r="R8" s="213">
        <v>4363.636363636364</v>
      </c>
      <c r="S8" s="214"/>
      <c r="T8" s="48"/>
      <c r="U8" s="215">
        <v>1</v>
      </c>
      <c r="V8" s="216" t="s">
        <v>436</v>
      </c>
      <c r="W8" s="212">
        <v>0</v>
      </c>
      <c r="X8" s="170">
        <v>5454.545454545455</v>
      </c>
      <c r="Y8" s="170">
        <v>5454.545454545455</v>
      </c>
      <c r="Z8" s="170">
        <v>5454.545454545455</v>
      </c>
      <c r="AA8" s="170">
        <v>5454.545454545455</v>
      </c>
      <c r="AB8" s="170">
        <v>5454.545454545455</v>
      </c>
      <c r="AC8" s="170">
        <v>5454.545454545455</v>
      </c>
      <c r="AD8" s="170">
        <v>5454.545454545455</v>
      </c>
      <c r="AE8" s="213">
        <v>5454.545454545455</v>
      </c>
      <c r="AF8" s="217">
        <v>0</v>
      </c>
      <c r="AG8" s="170">
        <v>4909.090909090909</v>
      </c>
      <c r="AH8" s="170">
        <v>4909.090909090909</v>
      </c>
      <c r="AI8" s="170">
        <v>4909.090909090909</v>
      </c>
      <c r="AJ8" s="170">
        <v>4909.090909090909</v>
      </c>
      <c r="AK8" s="170">
        <v>4909.090909090909</v>
      </c>
      <c r="AL8" s="170">
        <v>4909.090909090909</v>
      </c>
      <c r="AM8" s="170">
        <v>4909.090909090909</v>
      </c>
      <c r="AN8" s="170">
        <v>4909.090909090909</v>
      </c>
      <c r="AO8" s="218">
        <v>39272.727272727272</v>
      </c>
      <c r="AP8" s="219"/>
      <c r="AQ8" s="220"/>
      <c r="AR8" s="220"/>
      <c r="AS8" s="210"/>
      <c r="AT8" s="210"/>
      <c r="AU8" s="210"/>
      <c r="AV8" s="210"/>
      <c r="AW8" s="221">
        <v>39272.727272727272</v>
      </c>
      <c r="AX8" s="222"/>
    </row>
    <row r="9" spans="1:50" s="103" customFormat="1" ht="26.1" customHeight="1" x14ac:dyDescent="0.25">
      <c r="A9" s="225" t="s">
        <v>355</v>
      </c>
      <c r="B9" s="74" t="s">
        <v>3</v>
      </c>
      <c r="C9" s="75" t="s">
        <v>412</v>
      </c>
      <c r="D9" s="75" t="s">
        <v>396</v>
      </c>
      <c r="E9" s="224" t="s">
        <v>37</v>
      </c>
      <c r="F9" s="171" t="s">
        <v>312</v>
      </c>
      <c r="G9" s="75" t="s">
        <v>323</v>
      </c>
      <c r="H9" s="226">
        <v>488757.58545454545</v>
      </c>
      <c r="I9" s="408">
        <v>711617.47636363632</v>
      </c>
      <c r="J9" s="174">
        <v>732966.0006545455</v>
      </c>
      <c r="K9" s="174">
        <v>754954.98067418183</v>
      </c>
      <c r="L9" s="174">
        <v>777603.63009440736</v>
      </c>
      <c r="M9" s="174">
        <v>800931.73899723962</v>
      </c>
      <c r="N9" s="174">
        <v>824959.69116715679</v>
      </c>
      <c r="O9" s="174">
        <v>849708.48190217151</v>
      </c>
      <c r="P9" s="174">
        <v>875199.73635923665</v>
      </c>
      <c r="Q9" s="174">
        <v>901455.72845001379</v>
      </c>
      <c r="R9" s="175">
        <v>7229397.4646625891</v>
      </c>
      <c r="S9" s="227">
        <v>1</v>
      </c>
      <c r="T9" s="75"/>
      <c r="U9" s="228"/>
      <c r="V9" s="178"/>
      <c r="W9" s="229">
        <v>882617.47636363632</v>
      </c>
      <c r="X9" s="230">
        <v>1080096.0006545454</v>
      </c>
      <c r="Y9" s="230">
        <v>1112498.8806741817</v>
      </c>
      <c r="Z9" s="230">
        <v>1145873.8470944073</v>
      </c>
      <c r="AA9" s="230">
        <v>1180250.0625072394</v>
      </c>
      <c r="AB9" s="230">
        <v>1215657.5643824567</v>
      </c>
      <c r="AC9" s="230">
        <v>1252127.2913139304</v>
      </c>
      <c r="AD9" s="230">
        <v>1289691.1100533484</v>
      </c>
      <c r="AE9" s="231">
        <v>1328381.8433549488</v>
      </c>
      <c r="AF9" s="173">
        <v>171000</v>
      </c>
      <c r="AG9" s="174">
        <v>347130</v>
      </c>
      <c r="AH9" s="174">
        <v>357543.9</v>
      </c>
      <c r="AI9" s="174">
        <v>368270.21699999995</v>
      </c>
      <c r="AJ9" s="174">
        <v>379318.32350999984</v>
      </c>
      <c r="AK9" s="174">
        <v>390697.87321529986</v>
      </c>
      <c r="AL9" s="174">
        <v>402418.80941175896</v>
      </c>
      <c r="AM9" s="174">
        <v>414491.37369411165</v>
      </c>
      <c r="AN9" s="174">
        <v>426926.11490493501</v>
      </c>
      <c r="AO9" s="175">
        <v>3257796.6117361053</v>
      </c>
      <c r="AP9" s="179"/>
      <c r="AQ9" s="180">
        <v>342000</v>
      </c>
      <c r="AR9" s="180" t="s">
        <v>337</v>
      </c>
      <c r="AS9" s="169"/>
      <c r="AT9" s="169"/>
      <c r="AU9" s="169"/>
      <c r="AV9" s="169"/>
      <c r="AW9" s="181">
        <v>2915796.6117361053</v>
      </c>
      <c r="AX9" s="182"/>
    </row>
    <row r="10" spans="1:50" s="103" customFormat="1" ht="26.1" customHeight="1" x14ac:dyDescent="0.25">
      <c r="A10" s="234"/>
      <c r="B10" s="80"/>
      <c r="C10" s="81"/>
      <c r="D10" s="81"/>
      <c r="E10" s="233"/>
      <c r="F10" s="235"/>
      <c r="G10" s="81"/>
      <c r="H10" s="192">
        <v>0</v>
      </c>
      <c r="I10" s="193">
        <v>0</v>
      </c>
      <c r="J10" s="194">
        <v>0</v>
      </c>
      <c r="K10" s="194">
        <v>0</v>
      </c>
      <c r="L10" s="194">
        <v>0</v>
      </c>
      <c r="M10" s="194">
        <v>0</v>
      </c>
      <c r="N10" s="194">
        <v>0</v>
      </c>
      <c r="O10" s="194">
        <v>0</v>
      </c>
      <c r="P10" s="194">
        <v>0</v>
      </c>
      <c r="Q10" s="194">
        <v>0</v>
      </c>
      <c r="R10" s="195">
        <v>0</v>
      </c>
      <c r="S10" s="196"/>
      <c r="T10" s="81"/>
      <c r="U10" s="81"/>
      <c r="V10" s="198"/>
      <c r="W10" s="193">
        <v>0</v>
      </c>
      <c r="X10" s="194">
        <v>0</v>
      </c>
      <c r="Y10" s="194">
        <v>0</v>
      </c>
      <c r="Z10" s="194">
        <v>0</v>
      </c>
      <c r="AA10" s="194">
        <v>0</v>
      </c>
      <c r="AB10" s="194">
        <v>0</v>
      </c>
      <c r="AC10" s="194">
        <v>0</v>
      </c>
      <c r="AD10" s="194">
        <v>0</v>
      </c>
      <c r="AE10" s="195">
        <v>0</v>
      </c>
      <c r="AF10" s="193">
        <v>0</v>
      </c>
      <c r="AG10" s="194">
        <v>0</v>
      </c>
      <c r="AH10" s="194">
        <v>0</v>
      </c>
      <c r="AI10" s="194">
        <v>0</v>
      </c>
      <c r="AJ10" s="194">
        <v>0</v>
      </c>
      <c r="AK10" s="194">
        <v>0</v>
      </c>
      <c r="AL10" s="194">
        <v>0</v>
      </c>
      <c r="AM10" s="194">
        <v>0</v>
      </c>
      <c r="AN10" s="194">
        <v>0</v>
      </c>
      <c r="AO10" s="195">
        <v>0</v>
      </c>
      <c r="AP10" s="199"/>
      <c r="AQ10" s="200"/>
      <c r="AR10" s="200"/>
      <c r="AS10" s="190"/>
      <c r="AT10" s="190"/>
      <c r="AU10" s="190"/>
      <c r="AV10" s="190"/>
      <c r="AW10" s="201">
        <v>0</v>
      </c>
      <c r="AX10" s="202"/>
    </row>
    <row r="11" spans="1:50" ht="26.1" customHeight="1" x14ac:dyDescent="0.25">
      <c r="A11" s="144" t="s">
        <v>357</v>
      </c>
      <c r="B11" s="59" t="s">
        <v>287</v>
      </c>
      <c r="C11" s="145"/>
      <c r="D11" s="60"/>
      <c r="E11" s="143" t="s">
        <v>12</v>
      </c>
      <c r="F11" s="154" t="s">
        <v>355</v>
      </c>
      <c r="G11" s="155"/>
      <c r="H11" s="156">
        <v>0</v>
      </c>
      <c r="I11" s="157">
        <v>0</v>
      </c>
      <c r="J11" s="152">
        <v>0</v>
      </c>
      <c r="K11" s="152">
        <v>0</v>
      </c>
      <c r="L11" s="152">
        <v>0</v>
      </c>
      <c r="M11" s="152">
        <v>0</v>
      </c>
      <c r="N11" s="152">
        <v>0</v>
      </c>
      <c r="O11" s="152">
        <v>0</v>
      </c>
      <c r="P11" s="152">
        <v>0</v>
      </c>
      <c r="Q11" s="152">
        <v>0</v>
      </c>
      <c r="R11" s="156">
        <v>0</v>
      </c>
      <c r="S11" s="157">
        <f>+R12*S12</f>
        <v>0</v>
      </c>
      <c r="T11" s="152"/>
      <c r="U11" s="152">
        <f>+R12*U12</f>
        <v>0</v>
      </c>
      <c r="V11" s="159"/>
      <c r="W11" s="157">
        <v>60000</v>
      </c>
      <c r="X11" s="152">
        <v>60000</v>
      </c>
      <c r="Y11" s="152">
        <v>0</v>
      </c>
      <c r="Z11" s="152">
        <v>0</v>
      </c>
      <c r="AA11" s="152">
        <v>0</v>
      </c>
      <c r="AB11" s="152">
        <v>0</v>
      </c>
      <c r="AC11" s="152">
        <v>0</v>
      </c>
      <c r="AD11" s="152">
        <v>0</v>
      </c>
      <c r="AE11" s="156">
        <v>0</v>
      </c>
      <c r="AF11" s="157">
        <v>60000</v>
      </c>
      <c r="AG11" s="152">
        <v>60000</v>
      </c>
      <c r="AH11" s="152">
        <v>0</v>
      </c>
      <c r="AI11" s="152">
        <v>0</v>
      </c>
      <c r="AJ11" s="152">
        <v>0</v>
      </c>
      <c r="AK11" s="152">
        <v>0</v>
      </c>
      <c r="AL11" s="152">
        <v>0</v>
      </c>
      <c r="AM11" s="152">
        <v>0</v>
      </c>
      <c r="AN11" s="152">
        <v>0</v>
      </c>
      <c r="AO11" s="156">
        <v>120000</v>
      </c>
      <c r="AP11" s="158"/>
      <c r="AQ11" s="160">
        <v>198000</v>
      </c>
      <c r="AR11" s="145"/>
      <c r="AS11" s="145"/>
      <c r="AT11" s="145"/>
      <c r="AU11" s="145"/>
      <c r="AV11" s="145"/>
      <c r="AW11" s="161">
        <v>120000</v>
      </c>
      <c r="AX11" s="151"/>
    </row>
    <row r="12" spans="1:50" ht="26.1" customHeight="1" x14ac:dyDescent="0.25">
      <c r="A12" s="205" t="s">
        <v>357</v>
      </c>
      <c r="B12" s="47" t="s">
        <v>463</v>
      </c>
      <c r="C12" s="50" t="s">
        <v>464</v>
      </c>
      <c r="D12" s="48" t="s">
        <v>465</v>
      </c>
      <c r="E12" s="237" t="s">
        <v>459</v>
      </c>
      <c r="F12" s="68" t="s">
        <v>349</v>
      </c>
      <c r="G12" s="48" t="s">
        <v>313</v>
      </c>
      <c r="H12" s="211">
        <v>0</v>
      </c>
      <c r="I12" s="212">
        <v>0</v>
      </c>
      <c r="J12" s="170">
        <v>0</v>
      </c>
      <c r="K12" s="170">
        <v>0</v>
      </c>
      <c r="L12" s="170">
        <v>0</v>
      </c>
      <c r="M12" s="170">
        <v>0</v>
      </c>
      <c r="N12" s="170">
        <v>0</v>
      </c>
      <c r="O12" s="170">
        <v>0</v>
      </c>
      <c r="P12" s="170">
        <v>0</v>
      </c>
      <c r="Q12" s="170">
        <v>0</v>
      </c>
      <c r="R12" s="213">
        <v>0</v>
      </c>
      <c r="S12" s="214"/>
      <c r="T12" s="48"/>
      <c r="U12" s="48"/>
      <c r="V12" s="216"/>
      <c r="W12" s="212">
        <v>60000</v>
      </c>
      <c r="X12" s="217">
        <v>60000</v>
      </c>
      <c r="Y12" s="170">
        <v>0</v>
      </c>
      <c r="Z12" s="170">
        <v>0</v>
      </c>
      <c r="AA12" s="170">
        <v>0</v>
      </c>
      <c r="AB12" s="170">
        <v>0</v>
      </c>
      <c r="AC12" s="170">
        <v>0</v>
      </c>
      <c r="AD12" s="170">
        <v>0</v>
      </c>
      <c r="AE12" s="213">
        <v>0</v>
      </c>
      <c r="AF12" s="217">
        <v>60000</v>
      </c>
      <c r="AG12" s="170">
        <v>60000</v>
      </c>
      <c r="AH12" s="170">
        <v>0</v>
      </c>
      <c r="AI12" s="170">
        <v>0</v>
      </c>
      <c r="AJ12" s="170">
        <v>0</v>
      </c>
      <c r="AK12" s="170">
        <v>0</v>
      </c>
      <c r="AL12" s="170">
        <v>0</v>
      </c>
      <c r="AM12" s="170">
        <v>0</v>
      </c>
      <c r="AN12" s="170">
        <v>0</v>
      </c>
      <c r="AO12" s="218">
        <v>120000</v>
      </c>
      <c r="AP12" s="238"/>
      <c r="AQ12" s="239">
        <v>198000</v>
      </c>
      <c r="AR12" s="239" t="s">
        <v>461</v>
      </c>
      <c r="AS12" s="210"/>
      <c r="AT12" s="210"/>
      <c r="AU12" s="210"/>
      <c r="AV12" s="210"/>
      <c r="AW12" s="240">
        <v>120000</v>
      </c>
      <c r="AX12" s="222"/>
    </row>
    <row r="13" spans="1:50" ht="26.1" customHeight="1" x14ac:dyDescent="0.25">
      <c r="A13" s="144" t="s">
        <v>357</v>
      </c>
      <c r="B13" s="59" t="s">
        <v>489</v>
      </c>
      <c r="C13" s="145"/>
      <c r="D13" s="60"/>
      <c r="E13" s="143" t="s">
        <v>458</v>
      </c>
      <c r="F13" s="154" t="s">
        <v>357</v>
      </c>
      <c r="G13" s="155"/>
      <c r="H13" s="156">
        <v>0</v>
      </c>
      <c r="I13" s="157">
        <v>5413.090909090909</v>
      </c>
      <c r="J13" s="152">
        <v>5683.7454545454548</v>
      </c>
      <c r="K13" s="152">
        <v>5967.9327272727269</v>
      </c>
      <c r="L13" s="152">
        <v>6266.3293636363642</v>
      </c>
      <c r="M13" s="152">
        <v>6579.6458318181831</v>
      </c>
      <c r="N13" s="152">
        <v>6908.628123409092</v>
      </c>
      <c r="O13" s="152">
        <v>7254.0595295795465</v>
      </c>
      <c r="P13" s="152">
        <v>7616.7625060585242</v>
      </c>
      <c r="Q13" s="152">
        <v>7997.6006313614516</v>
      </c>
      <c r="R13" s="156">
        <v>59687.795076772258</v>
      </c>
      <c r="S13" s="157">
        <f>+R14*S14+R15*S15</f>
        <v>59687.795076772258</v>
      </c>
      <c r="T13" s="152"/>
      <c r="U13" s="152">
        <f>+R14*U14+R15*U15</f>
        <v>0</v>
      </c>
      <c r="V13" s="159"/>
      <c r="W13" s="157">
        <v>109581.81818181818</v>
      </c>
      <c r="X13" s="152">
        <v>204879.09090909091</v>
      </c>
      <c r="Y13" s="152">
        <v>300213.95454545453</v>
      </c>
      <c r="Z13" s="152">
        <v>395588.28863636364</v>
      </c>
      <c r="AA13" s="152">
        <v>491004.06670454546</v>
      </c>
      <c r="AB13" s="152">
        <v>586463.36094886367</v>
      </c>
      <c r="AC13" s="152">
        <v>681968.34717812494</v>
      </c>
      <c r="AD13" s="152">
        <v>777521.30999157671</v>
      </c>
      <c r="AE13" s="156">
        <v>802215.55730933731</v>
      </c>
      <c r="AF13" s="157">
        <v>104168.72727272728</v>
      </c>
      <c r="AG13" s="152">
        <v>199195.34545454546</v>
      </c>
      <c r="AH13" s="152">
        <v>294246.02181818179</v>
      </c>
      <c r="AI13" s="152">
        <v>389321.95927272725</v>
      </c>
      <c r="AJ13" s="152">
        <v>484424.42087272723</v>
      </c>
      <c r="AK13" s="152">
        <v>579554.73282545456</v>
      </c>
      <c r="AL13" s="152">
        <v>674714.28764854546</v>
      </c>
      <c r="AM13" s="152">
        <v>769904.54748551815</v>
      </c>
      <c r="AN13" s="152">
        <v>794217.95667797583</v>
      </c>
      <c r="AO13" s="156">
        <v>4289747.9993284037</v>
      </c>
      <c r="AP13" s="158"/>
      <c r="AQ13" s="160">
        <v>89000</v>
      </c>
      <c r="AR13" s="145"/>
      <c r="AS13" s="145"/>
      <c r="AT13" s="145"/>
      <c r="AU13" s="145"/>
      <c r="AV13" s="145"/>
      <c r="AW13" s="161">
        <v>4200747.9993284037</v>
      </c>
      <c r="AX13" s="151"/>
    </row>
    <row r="14" spans="1:50" ht="26.1" customHeight="1" x14ac:dyDescent="0.25">
      <c r="A14" s="205" t="s">
        <v>357</v>
      </c>
      <c r="B14" s="47" t="s">
        <v>5</v>
      </c>
      <c r="C14" s="48" t="s">
        <v>402</v>
      </c>
      <c r="D14" s="48" t="s">
        <v>373</v>
      </c>
      <c r="E14" s="204" t="s">
        <v>14</v>
      </c>
      <c r="F14" s="68" t="s">
        <v>349</v>
      </c>
      <c r="G14" s="48" t="s">
        <v>313</v>
      </c>
      <c r="H14" s="241">
        <v>0</v>
      </c>
      <c r="I14" s="212">
        <v>5413.090909090909</v>
      </c>
      <c r="J14" s="170">
        <v>5683.7454545454548</v>
      </c>
      <c r="K14" s="170">
        <v>5967.9327272727269</v>
      </c>
      <c r="L14" s="170">
        <v>6266.3293636363642</v>
      </c>
      <c r="M14" s="170">
        <v>6579.6458318181831</v>
      </c>
      <c r="N14" s="170">
        <v>6908.628123409092</v>
      </c>
      <c r="O14" s="170">
        <v>7254.0595295795465</v>
      </c>
      <c r="P14" s="170">
        <v>7616.7625060585242</v>
      </c>
      <c r="Q14" s="170">
        <v>7997.6006313614516</v>
      </c>
      <c r="R14" s="213">
        <v>59687.795076772258</v>
      </c>
      <c r="S14" s="242">
        <v>1</v>
      </c>
      <c r="T14" s="48"/>
      <c r="U14" s="48"/>
      <c r="V14" s="243"/>
      <c r="W14" s="212">
        <v>15036.363636363636</v>
      </c>
      <c r="X14" s="170">
        <v>15788.181818181818</v>
      </c>
      <c r="Y14" s="170">
        <v>16577.590909090908</v>
      </c>
      <c r="Z14" s="170">
        <v>17406.470454545455</v>
      </c>
      <c r="AA14" s="170">
        <v>18276.793977272726</v>
      </c>
      <c r="AB14" s="170">
        <v>19190.633676136364</v>
      </c>
      <c r="AC14" s="170">
        <v>20150.165359943181</v>
      </c>
      <c r="AD14" s="170">
        <v>21157.673627940341</v>
      </c>
      <c r="AE14" s="213">
        <v>22215.55730933736</v>
      </c>
      <c r="AF14" s="212">
        <v>9623.2727272727279</v>
      </c>
      <c r="AG14" s="170">
        <v>10104.436363636363</v>
      </c>
      <c r="AH14" s="170">
        <v>10609.658181818182</v>
      </c>
      <c r="AI14" s="170">
        <v>11140.14109090909</v>
      </c>
      <c r="AJ14" s="170">
        <v>11697.148145454545</v>
      </c>
      <c r="AK14" s="170">
        <v>12282.005552727273</v>
      </c>
      <c r="AL14" s="170">
        <v>12896.105830363635</v>
      </c>
      <c r="AM14" s="170">
        <v>13540.911121881818</v>
      </c>
      <c r="AN14" s="170">
        <v>14217.956677975908</v>
      </c>
      <c r="AO14" s="213">
        <v>106111.63569203955</v>
      </c>
      <c r="AP14" s="219"/>
      <c r="AQ14" s="220">
        <v>89000</v>
      </c>
      <c r="AR14" s="220" t="s">
        <v>378</v>
      </c>
      <c r="AS14" s="210"/>
      <c r="AT14" s="210"/>
      <c r="AU14" s="210"/>
      <c r="AV14" s="210"/>
      <c r="AW14" s="221">
        <v>17111.635692039552</v>
      </c>
      <c r="AX14" s="222"/>
    </row>
    <row r="15" spans="1:50" ht="26.1" customHeight="1" x14ac:dyDescent="0.25">
      <c r="A15" s="205" t="s">
        <v>357</v>
      </c>
      <c r="B15" s="47" t="s">
        <v>4</v>
      </c>
      <c r="C15" s="48" t="s">
        <v>477</v>
      </c>
      <c r="D15" s="48" t="s">
        <v>395</v>
      </c>
      <c r="E15" s="204" t="s">
        <v>475</v>
      </c>
      <c r="F15" s="68" t="s">
        <v>349</v>
      </c>
      <c r="G15" s="48"/>
      <c r="H15" s="241">
        <v>0</v>
      </c>
      <c r="I15" s="212">
        <v>0</v>
      </c>
      <c r="J15" s="170">
        <v>0</v>
      </c>
      <c r="K15" s="170">
        <v>0</v>
      </c>
      <c r="L15" s="170">
        <v>0</v>
      </c>
      <c r="M15" s="170">
        <v>0</v>
      </c>
      <c r="N15" s="170">
        <v>0</v>
      </c>
      <c r="O15" s="170">
        <v>0</v>
      </c>
      <c r="P15" s="170">
        <v>0</v>
      </c>
      <c r="Q15" s="170">
        <v>0</v>
      </c>
      <c r="R15" s="213">
        <v>0</v>
      </c>
      <c r="S15" s="245"/>
      <c r="T15" s="48"/>
      <c r="U15" s="48"/>
      <c r="V15" s="243"/>
      <c r="W15" s="212">
        <v>94545.454545454544</v>
      </c>
      <c r="X15" s="170">
        <v>189090.90909090909</v>
      </c>
      <c r="Y15" s="170">
        <v>283636.36363636365</v>
      </c>
      <c r="Z15" s="170">
        <v>378181.81818181818</v>
      </c>
      <c r="AA15" s="170">
        <v>472727.27272727271</v>
      </c>
      <c r="AB15" s="170">
        <v>567272.72727272729</v>
      </c>
      <c r="AC15" s="170">
        <v>661818.18181818177</v>
      </c>
      <c r="AD15" s="170">
        <v>756363.63636363635</v>
      </c>
      <c r="AE15" s="170">
        <v>780000</v>
      </c>
      <c r="AF15" s="212">
        <v>94545.454545454544</v>
      </c>
      <c r="AG15" s="170">
        <v>189090.90909090909</v>
      </c>
      <c r="AH15" s="170">
        <v>283636.36363636365</v>
      </c>
      <c r="AI15" s="170">
        <v>378181.81818181818</v>
      </c>
      <c r="AJ15" s="170">
        <v>472727.27272727271</v>
      </c>
      <c r="AK15" s="170">
        <v>567272.72727272729</v>
      </c>
      <c r="AL15" s="170">
        <v>661818.18181818177</v>
      </c>
      <c r="AM15" s="170">
        <v>756363.63636363635</v>
      </c>
      <c r="AN15" s="170">
        <v>780000</v>
      </c>
      <c r="AO15" s="213">
        <v>4183636.3636363638</v>
      </c>
      <c r="AP15" s="219"/>
      <c r="AQ15" s="220"/>
      <c r="AR15" s="220"/>
      <c r="AS15" s="210"/>
      <c r="AT15" s="210"/>
      <c r="AU15" s="210"/>
      <c r="AV15" s="210"/>
      <c r="AW15" s="221">
        <v>0</v>
      </c>
      <c r="AX15" s="222"/>
    </row>
    <row r="16" spans="1:50" ht="26.1" customHeight="1" x14ac:dyDescent="0.25">
      <c r="A16" s="144" t="s">
        <v>357</v>
      </c>
      <c r="B16" s="59" t="s">
        <v>4</v>
      </c>
      <c r="C16" s="145"/>
      <c r="D16" s="60"/>
      <c r="E16" s="143" t="s">
        <v>15</v>
      </c>
      <c r="F16" s="154" t="s">
        <v>357</v>
      </c>
      <c r="G16" s="155"/>
      <c r="H16" s="156">
        <v>0</v>
      </c>
      <c r="I16" s="157">
        <v>1645119</v>
      </c>
      <c r="J16" s="152">
        <v>1727374.95</v>
      </c>
      <c r="K16" s="152">
        <v>1813743.6975</v>
      </c>
      <c r="L16" s="152">
        <v>1904430.8823750003</v>
      </c>
      <c r="M16" s="152">
        <v>1999652.42649375</v>
      </c>
      <c r="N16" s="152">
        <v>2099635.0478184377</v>
      </c>
      <c r="O16" s="152">
        <v>2204616.8002093593</v>
      </c>
      <c r="P16" s="152">
        <v>2314847.6402198272</v>
      </c>
      <c r="Q16" s="152">
        <v>2430590.0222308184</v>
      </c>
      <c r="R16" s="156">
        <v>18140010.466847192</v>
      </c>
      <c r="S16" s="157">
        <f>+R17*S17+R18*S18</f>
        <v>18140010.466847192</v>
      </c>
      <c r="T16" s="152"/>
      <c r="U16" s="152">
        <f>+R17*U17+R18*U18</f>
        <v>0</v>
      </c>
      <c r="V16" s="159"/>
      <c r="W16" s="157">
        <v>2719024</v>
      </c>
      <c r="X16" s="152">
        <v>2684625.2</v>
      </c>
      <c r="Y16" s="152">
        <v>2593106.46</v>
      </c>
      <c r="Z16" s="152">
        <v>2722761.7830000003</v>
      </c>
      <c r="AA16" s="152">
        <v>2858899.8721500002</v>
      </c>
      <c r="AB16" s="152">
        <v>3001844.8657575003</v>
      </c>
      <c r="AC16" s="152">
        <v>3151937.1090453756</v>
      </c>
      <c r="AD16" s="152">
        <v>3309533.9644976445</v>
      </c>
      <c r="AE16" s="156">
        <v>3475010.6627225266</v>
      </c>
      <c r="AF16" s="157">
        <v>1073905</v>
      </c>
      <c r="AG16" s="152">
        <v>957250.25</v>
      </c>
      <c r="AH16" s="152">
        <v>779362.76249999995</v>
      </c>
      <c r="AI16" s="152">
        <v>818330.90062500001</v>
      </c>
      <c r="AJ16" s="152">
        <v>859247.44565625023</v>
      </c>
      <c r="AK16" s="152">
        <v>902209.81793906295</v>
      </c>
      <c r="AL16" s="152">
        <v>947320.30883601622</v>
      </c>
      <c r="AM16" s="152">
        <v>994686.32427781716</v>
      </c>
      <c r="AN16" s="152">
        <v>1044420.6404917079</v>
      </c>
      <c r="AO16" s="156">
        <v>8376733.4503258551</v>
      </c>
      <c r="AP16" s="158"/>
      <c r="AQ16" s="160">
        <v>772000</v>
      </c>
      <c r="AR16" s="145"/>
      <c r="AS16" s="145"/>
      <c r="AT16" s="145"/>
      <c r="AU16" s="145"/>
      <c r="AV16" s="145"/>
      <c r="AW16" s="161">
        <v>7604733.4503258551</v>
      </c>
      <c r="AX16" s="151"/>
    </row>
    <row r="17" spans="1:50" ht="26.1" customHeight="1" x14ac:dyDescent="0.25">
      <c r="A17" s="164" t="s">
        <v>357</v>
      </c>
      <c r="B17" s="421" t="s">
        <v>4</v>
      </c>
      <c r="C17" s="48" t="s">
        <v>438</v>
      </c>
      <c r="D17" s="48" t="s">
        <v>393</v>
      </c>
      <c r="E17" s="204" t="s">
        <v>437</v>
      </c>
      <c r="F17" s="68" t="s">
        <v>349</v>
      </c>
      <c r="G17" s="48"/>
      <c r="H17" s="211">
        <v>0</v>
      </c>
      <c r="I17" s="212">
        <v>0</v>
      </c>
      <c r="J17" s="170">
        <v>0</v>
      </c>
      <c r="K17" s="170">
        <v>0</v>
      </c>
      <c r="L17" s="170">
        <v>0</v>
      </c>
      <c r="M17" s="170">
        <v>0</v>
      </c>
      <c r="N17" s="170">
        <v>0</v>
      </c>
      <c r="O17" s="170">
        <v>0</v>
      </c>
      <c r="P17" s="170">
        <v>0</v>
      </c>
      <c r="Q17" s="170">
        <v>0</v>
      </c>
      <c r="R17" s="213">
        <v>0</v>
      </c>
      <c r="S17" s="214"/>
      <c r="T17" s="48"/>
      <c r="U17" s="48"/>
      <c r="V17" s="216"/>
      <c r="W17" s="212">
        <v>367000</v>
      </c>
      <c r="X17" s="170">
        <v>215000</v>
      </c>
      <c r="Y17" s="170">
        <v>0</v>
      </c>
      <c r="Z17" s="170">
        <v>0</v>
      </c>
      <c r="AA17" s="170">
        <v>0</v>
      </c>
      <c r="AB17" s="170">
        <v>0</v>
      </c>
      <c r="AC17" s="170">
        <v>0</v>
      </c>
      <c r="AD17" s="170">
        <v>0</v>
      </c>
      <c r="AE17" s="213">
        <v>0</v>
      </c>
      <c r="AF17" s="217">
        <v>367000</v>
      </c>
      <c r="AG17" s="217">
        <v>215000</v>
      </c>
      <c r="AH17" s="217">
        <v>0</v>
      </c>
      <c r="AI17" s="217">
        <v>0</v>
      </c>
      <c r="AJ17" s="217">
        <v>0</v>
      </c>
      <c r="AK17" s="217">
        <v>0</v>
      </c>
      <c r="AL17" s="217">
        <v>0</v>
      </c>
      <c r="AM17" s="217">
        <v>0</v>
      </c>
      <c r="AN17" s="217">
        <v>0</v>
      </c>
      <c r="AO17" s="218">
        <v>582000</v>
      </c>
      <c r="AP17" s="219"/>
      <c r="AQ17" s="220">
        <v>582000</v>
      </c>
      <c r="AR17" s="220" t="s">
        <v>337</v>
      </c>
      <c r="AS17" s="210"/>
      <c r="AT17" s="210"/>
      <c r="AU17" s="210"/>
      <c r="AV17" s="210"/>
      <c r="AW17" s="221">
        <v>0</v>
      </c>
      <c r="AX17" s="222"/>
    </row>
    <row r="18" spans="1:50" ht="26.1" customHeight="1" x14ac:dyDescent="0.25">
      <c r="A18" s="185"/>
      <c r="B18" s="47" t="s">
        <v>4</v>
      </c>
      <c r="C18" s="48" t="s">
        <v>407</v>
      </c>
      <c r="D18" s="81" t="s">
        <v>653</v>
      </c>
      <c r="E18" s="204" t="s">
        <v>442</v>
      </c>
      <c r="F18" s="68" t="s">
        <v>349</v>
      </c>
      <c r="G18" s="48"/>
      <c r="H18" s="252">
        <v>1566780</v>
      </c>
      <c r="I18" s="212">
        <v>1645119</v>
      </c>
      <c r="J18" s="170">
        <v>1727374.95</v>
      </c>
      <c r="K18" s="170">
        <v>1813743.6975</v>
      </c>
      <c r="L18" s="170">
        <v>1904430.8823750003</v>
      </c>
      <c r="M18" s="170">
        <v>1999652.42649375</v>
      </c>
      <c r="N18" s="170">
        <v>2099635.0478184377</v>
      </c>
      <c r="O18" s="170">
        <v>2204616.8002093593</v>
      </c>
      <c r="P18" s="170">
        <v>2314847.6402198272</v>
      </c>
      <c r="Q18" s="170">
        <v>2430590.0222308184</v>
      </c>
      <c r="R18" s="213">
        <v>18140010.466847192</v>
      </c>
      <c r="S18" s="253">
        <v>1</v>
      </c>
      <c r="T18" s="48"/>
      <c r="U18" s="48"/>
      <c r="V18" s="216"/>
      <c r="W18" s="212">
        <v>2352024</v>
      </c>
      <c r="X18" s="170">
        <v>2469625.2000000002</v>
      </c>
      <c r="Y18" s="170">
        <v>2593106.46</v>
      </c>
      <c r="Z18" s="170">
        <v>2722761.7830000003</v>
      </c>
      <c r="AA18" s="170">
        <v>2858899.8721500002</v>
      </c>
      <c r="AB18" s="170">
        <v>3001844.8657575003</v>
      </c>
      <c r="AC18" s="170">
        <v>3151937.1090453756</v>
      </c>
      <c r="AD18" s="170">
        <v>3309533.9644976445</v>
      </c>
      <c r="AE18" s="213">
        <v>3475010.6627225266</v>
      </c>
      <c r="AF18" s="217">
        <v>706905</v>
      </c>
      <c r="AG18" s="217">
        <v>742250.25</v>
      </c>
      <c r="AH18" s="217">
        <v>779362.76249999995</v>
      </c>
      <c r="AI18" s="217">
        <v>818330.90062500001</v>
      </c>
      <c r="AJ18" s="217">
        <v>859247.44565625023</v>
      </c>
      <c r="AK18" s="217">
        <v>902209.81793906295</v>
      </c>
      <c r="AL18" s="217">
        <v>947320.30883601622</v>
      </c>
      <c r="AM18" s="217">
        <v>994686.32427781716</v>
      </c>
      <c r="AN18" s="217">
        <v>3475010.6627225266</v>
      </c>
      <c r="AO18" s="218">
        <v>10225323.472556673</v>
      </c>
      <c r="AP18" s="219"/>
      <c r="AQ18" s="220">
        <v>190000</v>
      </c>
      <c r="AR18" s="220" t="s">
        <v>441</v>
      </c>
      <c r="AS18" s="210"/>
      <c r="AT18" s="210"/>
      <c r="AU18" s="210"/>
      <c r="AV18" s="210"/>
      <c r="AW18" s="221">
        <v>10035323.472556673</v>
      </c>
      <c r="AX18" s="222"/>
    </row>
    <row r="19" spans="1:50" ht="26.1" customHeight="1" x14ac:dyDescent="0.25">
      <c r="A19" s="144" t="s">
        <v>357</v>
      </c>
      <c r="B19" s="59" t="s">
        <v>4</v>
      </c>
      <c r="C19" s="145"/>
      <c r="D19" s="60"/>
      <c r="E19" s="143" t="s">
        <v>420</v>
      </c>
      <c r="F19" s="154" t="s">
        <v>357</v>
      </c>
      <c r="G19" s="155"/>
      <c r="H19" s="156">
        <v>0</v>
      </c>
      <c r="I19" s="157">
        <v>0</v>
      </c>
      <c r="J19" s="152">
        <v>0</v>
      </c>
      <c r="K19" s="152">
        <v>0</v>
      </c>
      <c r="L19" s="152">
        <v>0</v>
      </c>
      <c r="M19" s="152">
        <v>0</v>
      </c>
      <c r="N19" s="152">
        <v>0</v>
      </c>
      <c r="O19" s="152">
        <v>0</v>
      </c>
      <c r="P19" s="152">
        <v>0</v>
      </c>
      <c r="Q19" s="152">
        <v>0</v>
      </c>
      <c r="R19" s="156">
        <v>0</v>
      </c>
      <c r="S19" s="157">
        <f>+R20*S20</f>
        <v>0</v>
      </c>
      <c r="T19" s="152"/>
      <c r="U19" s="152">
        <f>+R20*U20</f>
        <v>0</v>
      </c>
      <c r="V19" s="159"/>
      <c r="W19" s="157">
        <v>24000</v>
      </c>
      <c r="X19" s="152">
        <v>24000</v>
      </c>
      <c r="Y19" s="152">
        <v>24000</v>
      </c>
      <c r="Z19" s="152">
        <v>24000</v>
      </c>
      <c r="AA19" s="152">
        <v>0</v>
      </c>
      <c r="AB19" s="152">
        <v>0</v>
      </c>
      <c r="AC19" s="152">
        <v>0</v>
      </c>
      <c r="AD19" s="152">
        <v>0</v>
      </c>
      <c r="AE19" s="156">
        <v>0</v>
      </c>
      <c r="AF19" s="157">
        <v>24000</v>
      </c>
      <c r="AG19" s="152">
        <v>24000</v>
      </c>
      <c r="AH19" s="152">
        <v>24000</v>
      </c>
      <c r="AI19" s="152">
        <v>24000</v>
      </c>
      <c r="AJ19" s="152">
        <v>0</v>
      </c>
      <c r="AK19" s="152">
        <v>0</v>
      </c>
      <c r="AL19" s="152">
        <v>0</v>
      </c>
      <c r="AM19" s="152">
        <v>0</v>
      </c>
      <c r="AN19" s="152">
        <v>0</v>
      </c>
      <c r="AO19" s="156">
        <v>96000</v>
      </c>
      <c r="AP19" s="158"/>
      <c r="AQ19" s="160">
        <v>0</v>
      </c>
      <c r="AR19" s="145"/>
      <c r="AS19" s="145"/>
      <c r="AT19" s="145"/>
      <c r="AU19" s="145"/>
      <c r="AV19" s="145"/>
      <c r="AW19" s="161">
        <v>96000</v>
      </c>
      <c r="AX19" s="151"/>
    </row>
    <row r="20" spans="1:50" ht="26.1" customHeight="1" x14ac:dyDescent="0.25">
      <c r="A20" s="205" t="s">
        <v>357</v>
      </c>
      <c r="B20" s="47" t="s">
        <v>4</v>
      </c>
      <c r="C20" s="255" t="s">
        <v>403</v>
      </c>
      <c r="D20" s="77" t="s">
        <v>393</v>
      </c>
      <c r="E20" s="204" t="s">
        <v>17</v>
      </c>
      <c r="F20" s="257" t="s">
        <v>349</v>
      </c>
      <c r="G20" s="48" t="s">
        <v>313</v>
      </c>
      <c r="H20" s="211">
        <v>0</v>
      </c>
      <c r="I20" s="212">
        <v>0</v>
      </c>
      <c r="J20" s="170">
        <v>0</v>
      </c>
      <c r="K20" s="170">
        <v>0</v>
      </c>
      <c r="L20" s="170">
        <v>0</v>
      </c>
      <c r="M20" s="170">
        <v>0</v>
      </c>
      <c r="N20" s="170">
        <v>0</v>
      </c>
      <c r="O20" s="170">
        <v>0</v>
      </c>
      <c r="P20" s="170">
        <v>0</v>
      </c>
      <c r="Q20" s="170">
        <v>0</v>
      </c>
      <c r="R20" s="213">
        <v>0</v>
      </c>
      <c r="S20" s="214"/>
      <c r="T20" s="48"/>
      <c r="U20" s="48"/>
      <c r="V20" s="216"/>
      <c r="W20" s="212">
        <v>24000</v>
      </c>
      <c r="X20" s="170">
        <v>24000</v>
      </c>
      <c r="Y20" s="170">
        <v>24000</v>
      </c>
      <c r="Z20" s="170">
        <v>24000</v>
      </c>
      <c r="AA20" s="170">
        <v>0</v>
      </c>
      <c r="AB20" s="170">
        <v>0</v>
      </c>
      <c r="AC20" s="170">
        <v>0</v>
      </c>
      <c r="AD20" s="170">
        <v>0</v>
      </c>
      <c r="AE20" s="213">
        <v>0</v>
      </c>
      <c r="AF20" s="217">
        <v>24000</v>
      </c>
      <c r="AG20" s="170">
        <v>24000</v>
      </c>
      <c r="AH20" s="170">
        <v>24000</v>
      </c>
      <c r="AI20" s="170">
        <v>24000</v>
      </c>
      <c r="AJ20" s="170">
        <v>0</v>
      </c>
      <c r="AK20" s="170">
        <v>0</v>
      </c>
      <c r="AL20" s="170">
        <v>0</v>
      </c>
      <c r="AM20" s="170">
        <v>0</v>
      </c>
      <c r="AN20" s="170">
        <v>0</v>
      </c>
      <c r="AO20" s="218">
        <v>96000</v>
      </c>
      <c r="AP20" s="219"/>
      <c r="AQ20" s="220"/>
      <c r="AR20" s="220"/>
      <c r="AS20" s="210"/>
      <c r="AT20" s="210"/>
      <c r="AU20" s="210"/>
      <c r="AV20" s="210"/>
      <c r="AW20" s="221">
        <v>96000</v>
      </c>
      <c r="AX20" s="222"/>
    </row>
    <row r="21" spans="1:50" ht="26.1" customHeight="1" x14ac:dyDescent="0.25">
      <c r="A21" s="144" t="s">
        <v>357</v>
      </c>
      <c r="B21" s="59" t="s">
        <v>6</v>
      </c>
      <c r="C21" s="145"/>
      <c r="D21" s="60"/>
      <c r="E21" s="143" t="s">
        <v>18</v>
      </c>
      <c r="F21" s="154" t="s">
        <v>357</v>
      </c>
      <c r="G21" s="155"/>
      <c r="H21" s="156">
        <v>0</v>
      </c>
      <c r="I21" s="157">
        <v>0</v>
      </c>
      <c r="J21" s="152">
        <v>0</v>
      </c>
      <c r="K21" s="152">
        <v>0</v>
      </c>
      <c r="L21" s="152">
        <v>0</v>
      </c>
      <c r="M21" s="152">
        <v>0</v>
      </c>
      <c r="N21" s="152">
        <v>0</v>
      </c>
      <c r="O21" s="152">
        <v>0</v>
      </c>
      <c r="P21" s="152">
        <v>0</v>
      </c>
      <c r="Q21" s="152">
        <v>0</v>
      </c>
      <c r="R21" s="156">
        <v>0</v>
      </c>
      <c r="S21" s="157">
        <f>+R22*S22</f>
        <v>0</v>
      </c>
      <c r="T21" s="152"/>
      <c r="U21" s="152">
        <f>+R22*U22</f>
        <v>0</v>
      </c>
      <c r="V21" s="159"/>
      <c r="W21" s="157">
        <v>200000</v>
      </c>
      <c r="X21" s="152">
        <v>0</v>
      </c>
      <c r="Y21" s="152">
        <v>0</v>
      </c>
      <c r="Z21" s="152">
        <v>0</v>
      </c>
      <c r="AA21" s="152">
        <v>0</v>
      </c>
      <c r="AB21" s="152">
        <v>0</v>
      </c>
      <c r="AC21" s="152">
        <v>0</v>
      </c>
      <c r="AD21" s="152">
        <v>0</v>
      </c>
      <c r="AE21" s="156">
        <v>0</v>
      </c>
      <c r="AF21" s="157">
        <v>200000</v>
      </c>
      <c r="AG21" s="152">
        <v>0</v>
      </c>
      <c r="AH21" s="152">
        <v>0</v>
      </c>
      <c r="AI21" s="152">
        <v>0</v>
      </c>
      <c r="AJ21" s="152">
        <v>0</v>
      </c>
      <c r="AK21" s="152">
        <v>0</v>
      </c>
      <c r="AL21" s="152">
        <v>0</v>
      </c>
      <c r="AM21" s="152">
        <v>0</v>
      </c>
      <c r="AN21" s="152">
        <v>0</v>
      </c>
      <c r="AO21" s="156">
        <v>200000</v>
      </c>
      <c r="AP21" s="158"/>
      <c r="AQ21" s="160">
        <v>200000</v>
      </c>
      <c r="AR21" s="145"/>
      <c r="AS21" s="145"/>
      <c r="AT21" s="145"/>
      <c r="AU21" s="145"/>
      <c r="AV21" s="145"/>
      <c r="AW21" s="161">
        <v>0</v>
      </c>
      <c r="AX21" s="151"/>
    </row>
    <row r="22" spans="1:50" ht="26.1" customHeight="1" x14ac:dyDescent="0.25">
      <c r="A22" s="205" t="s">
        <v>357</v>
      </c>
      <c r="B22" s="47" t="s">
        <v>492</v>
      </c>
      <c r="C22" s="48" t="s">
        <v>403</v>
      </c>
      <c r="D22" s="48" t="s">
        <v>393</v>
      </c>
      <c r="E22" s="204" t="s">
        <v>19</v>
      </c>
      <c r="F22" s="68" t="s">
        <v>349</v>
      </c>
      <c r="G22" s="48" t="s">
        <v>313</v>
      </c>
      <c r="H22" s="241">
        <v>0</v>
      </c>
      <c r="I22" s="212">
        <v>0</v>
      </c>
      <c r="J22" s="170">
        <v>0</v>
      </c>
      <c r="K22" s="170">
        <v>0</v>
      </c>
      <c r="L22" s="170">
        <v>0</v>
      </c>
      <c r="M22" s="170">
        <v>0</v>
      </c>
      <c r="N22" s="170">
        <v>0</v>
      </c>
      <c r="O22" s="170">
        <v>0</v>
      </c>
      <c r="P22" s="170">
        <v>0</v>
      </c>
      <c r="Q22" s="170">
        <v>0</v>
      </c>
      <c r="R22" s="213">
        <v>0</v>
      </c>
      <c r="S22" s="245"/>
      <c r="T22" s="48"/>
      <c r="U22" s="48"/>
      <c r="V22" s="243"/>
      <c r="W22" s="212">
        <v>200000</v>
      </c>
      <c r="X22" s="170">
        <v>0</v>
      </c>
      <c r="Y22" s="170">
        <v>0</v>
      </c>
      <c r="Z22" s="170">
        <v>0</v>
      </c>
      <c r="AA22" s="170">
        <v>0</v>
      </c>
      <c r="AB22" s="170">
        <v>0</v>
      </c>
      <c r="AC22" s="170">
        <v>0</v>
      </c>
      <c r="AD22" s="170">
        <v>0</v>
      </c>
      <c r="AE22" s="213">
        <v>0</v>
      </c>
      <c r="AF22" s="217">
        <v>200000</v>
      </c>
      <c r="AG22" s="170">
        <v>0</v>
      </c>
      <c r="AH22" s="170">
        <v>0</v>
      </c>
      <c r="AI22" s="170">
        <v>0</v>
      </c>
      <c r="AJ22" s="170">
        <v>0</v>
      </c>
      <c r="AK22" s="170">
        <v>0</v>
      </c>
      <c r="AL22" s="170">
        <v>0</v>
      </c>
      <c r="AM22" s="170">
        <v>0</v>
      </c>
      <c r="AN22" s="170">
        <v>0</v>
      </c>
      <c r="AO22" s="218">
        <v>200000</v>
      </c>
      <c r="AP22" s="219"/>
      <c r="AQ22" s="220">
        <v>200000</v>
      </c>
      <c r="AR22" s="220" t="s">
        <v>421</v>
      </c>
      <c r="AS22" s="210"/>
      <c r="AT22" s="210"/>
      <c r="AU22" s="210"/>
      <c r="AV22" s="210"/>
      <c r="AW22" s="221">
        <v>0</v>
      </c>
      <c r="AX22" s="222"/>
    </row>
    <row r="23" spans="1:50" ht="26.1" customHeight="1" x14ac:dyDescent="0.25">
      <c r="A23" s="144" t="s">
        <v>355</v>
      </c>
      <c r="B23" s="59" t="s">
        <v>5</v>
      </c>
      <c r="C23" s="145"/>
      <c r="D23" s="60"/>
      <c r="E23" s="143" t="s">
        <v>20</v>
      </c>
      <c r="F23" s="154" t="s">
        <v>355</v>
      </c>
      <c r="G23" s="155"/>
      <c r="H23" s="156">
        <v>0</v>
      </c>
      <c r="I23" s="157">
        <v>458.18181818181819</v>
      </c>
      <c r="J23" s="152">
        <v>2290.909090909091</v>
      </c>
      <c r="K23" s="152">
        <v>2290.909090909091</v>
      </c>
      <c r="L23" s="152">
        <v>2290.909090909091</v>
      </c>
      <c r="M23" s="152">
        <v>2290.909090909091</v>
      </c>
      <c r="N23" s="152">
        <v>2290.909090909091</v>
      </c>
      <c r="O23" s="152">
        <v>2290.909090909091</v>
      </c>
      <c r="P23" s="152">
        <v>2290.909090909091</v>
      </c>
      <c r="Q23" s="152">
        <v>2290.909090909091</v>
      </c>
      <c r="R23" s="156">
        <v>18785.454545454544</v>
      </c>
      <c r="S23" s="157">
        <f>+R24*S24</f>
        <v>18785.454545454544</v>
      </c>
      <c r="T23" s="152"/>
      <c r="U23" s="152">
        <f>+R24*U24</f>
        <v>0</v>
      </c>
      <c r="V23" s="159"/>
      <c r="W23" s="157">
        <v>6185.454545454545</v>
      </c>
      <c r="X23" s="152">
        <v>11454.545454545454</v>
      </c>
      <c r="Y23" s="152">
        <v>11454.545454545454</v>
      </c>
      <c r="Z23" s="152">
        <v>11454.545454545454</v>
      </c>
      <c r="AA23" s="152">
        <v>11454.545454545454</v>
      </c>
      <c r="AB23" s="152">
        <v>11454.545454545454</v>
      </c>
      <c r="AC23" s="152">
        <v>11454.545454545454</v>
      </c>
      <c r="AD23" s="152">
        <v>11454.545454545454</v>
      </c>
      <c r="AE23" s="156">
        <v>11454.545454545454</v>
      </c>
      <c r="AF23" s="157">
        <v>5727.272727272727</v>
      </c>
      <c r="AG23" s="152">
        <v>9163.636363636364</v>
      </c>
      <c r="AH23" s="152">
        <v>9163.636363636364</v>
      </c>
      <c r="AI23" s="152">
        <v>9163.636363636364</v>
      </c>
      <c r="AJ23" s="152">
        <v>9163.636363636364</v>
      </c>
      <c r="AK23" s="152">
        <v>9163.636363636364</v>
      </c>
      <c r="AL23" s="152">
        <v>9163.636363636364</v>
      </c>
      <c r="AM23" s="152">
        <v>9163.636363636364</v>
      </c>
      <c r="AN23" s="152">
        <v>9163.636363636364</v>
      </c>
      <c r="AO23" s="156">
        <v>79036.363636363632</v>
      </c>
      <c r="AP23" s="158"/>
      <c r="AQ23" s="160">
        <v>0</v>
      </c>
      <c r="AR23" s="145"/>
      <c r="AS23" s="145"/>
      <c r="AT23" s="145"/>
      <c r="AU23" s="145"/>
      <c r="AV23" s="145"/>
      <c r="AW23" s="161">
        <v>79036.363636363632</v>
      </c>
      <c r="AX23" s="151"/>
    </row>
    <row r="24" spans="1:50" ht="26.1" customHeight="1" x14ac:dyDescent="0.25">
      <c r="A24" s="205" t="s">
        <v>355</v>
      </c>
      <c r="B24" s="47" t="s">
        <v>5</v>
      </c>
      <c r="C24" s="48" t="s">
        <v>402</v>
      </c>
      <c r="D24" s="48" t="s">
        <v>373</v>
      </c>
      <c r="E24" s="261" t="s">
        <v>380</v>
      </c>
      <c r="F24" s="68" t="s">
        <v>312</v>
      </c>
      <c r="G24" s="48" t="s">
        <v>313</v>
      </c>
      <c r="H24" s="241">
        <v>0</v>
      </c>
      <c r="I24" s="212">
        <v>458.18181818181819</v>
      </c>
      <c r="J24" s="170">
        <v>2290.909090909091</v>
      </c>
      <c r="K24" s="170">
        <v>2290.909090909091</v>
      </c>
      <c r="L24" s="170">
        <v>2290.909090909091</v>
      </c>
      <c r="M24" s="170">
        <v>2290.909090909091</v>
      </c>
      <c r="N24" s="170">
        <v>2290.909090909091</v>
      </c>
      <c r="O24" s="170">
        <v>2290.909090909091</v>
      </c>
      <c r="P24" s="170">
        <v>2290.909090909091</v>
      </c>
      <c r="Q24" s="170">
        <v>2290.909090909091</v>
      </c>
      <c r="R24" s="213">
        <v>18785.454545454544</v>
      </c>
      <c r="S24" s="262">
        <v>1</v>
      </c>
      <c r="T24" s="170"/>
      <c r="U24" s="170"/>
      <c r="V24" s="213"/>
      <c r="W24" s="212">
        <v>6185.454545454545</v>
      </c>
      <c r="X24" s="170">
        <v>11454.545454545454</v>
      </c>
      <c r="Y24" s="170">
        <v>11454.545454545454</v>
      </c>
      <c r="Z24" s="170">
        <v>11454.545454545454</v>
      </c>
      <c r="AA24" s="170">
        <v>11454.545454545454</v>
      </c>
      <c r="AB24" s="170">
        <v>11454.545454545454</v>
      </c>
      <c r="AC24" s="170">
        <v>11454.545454545454</v>
      </c>
      <c r="AD24" s="170">
        <v>11454.545454545454</v>
      </c>
      <c r="AE24" s="170">
        <v>11454.545454545454</v>
      </c>
      <c r="AF24" s="212">
        <v>5727.272727272727</v>
      </c>
      <c r="AG24" s="170">
        <v>9163.636363636364</v>
      </c>
      <c r="AH24" s="170">
        <v>9163.636363636364</v>
      </c>
      <c r="AI24" s="170">
        <v>9163.636363636364</v>
      </c>
      <c r="AJ24" s="170">
        <v>9163.636363636364</v>
      </c>
      <c r="AK24" s="170">
        <v>9163.636363636364</v>
      </c>
      <c r="AL24" s="170">
        <v>9163.636363636364</v>
      </c>
      <c r="AM24" s="170">
        <v>9163.636363636364</v>
      </c>
      <c r="AN24" s="170">
        <v>9163.636363636364</v>
      </c>
      <c r="AO24" s="213">
        <v>79036.363636363632</v>
      </c>
      <c r="AP24" s="219"/>
      <c r="AQ24" s="220"/>
      <c r="AR24" s="220"/>
      <c r="AS24" s="210"/>
      <c r="AT24" s="210"/>
      <c r="AU24" s="210"/>
      <c r="AV24" s="210"/>
      <c r="AW24" s="221">
        <v>79036.363636363632</v>
      </c>
      <c r="AX24" s="222"/>
    </row>
    <row r="25" spans="1:50" ht="26.1" customHeight="1" x14ac:dyDescent="0.25">
      <c r="A25" s="124"/>
      <c r="B25" s="55"/>
      <c r="C25" s="126"/>
      <c r="D25" s="56"/>
      <c r="E25" s="123" t="s">
        <v>22</v>
      </c>
      <c r="F25" s="126"/>
      <c r="G25" s="134"/>
      <c r="H25" s="135">
        <v>6302524.3702000007</v>
      </c>
      <c r="I25" s="136">
        <v>10587034.609109091</v>
      </c>
      <c r="J25" s="133">
        <v>9082923.7941100001</v>
      </c>
      <c r="K25" s="133">
        <v>8839246.1474518627</v>
      </c>
      <c r="L25" s="133">
        <v>9230178.7275517285</v>
      </c>
      <c r="M25" s="133">
        <v>9596402.9548384063</v>
      </c>
      <c r="N25" s="133">
        <v>9939134.3207621444</v>
      </c>
      <c r="O25" s="133">
        <v>10547706.000436617</v>
      </c>
      <c r="P25" s="133">
        <v>10832025.282276629</v>
      </c>
      <c r="Q25" s="133">
        <v>11497084.637299551</v>
      </c>
      <c r="R25" s="137">
        <v>90151736.473836049</v>
      </c>
      <c r="S25" s="136">
        <f>+S26+S30+S32</f>
        <v>82510188.878238186</v>
      </c>
      <c r="T25" s="133"/>
      <c r="U25" s="133">
        <f>+U26+U30+U32</f>
        <v>7641547.5955978502</v>
      </c>
      <c r="V25" s="139"/>
      <c r="W25" s="136">
        <v>11171913.342747273</v>
      </c>
      <c r="X25" s="133">
        <v>10532491.216493728</v>
      </c>
      <c r="Y25" s="133">
        <v>10426033.044588413</v>
      </c>
      <c r="Z25" s="133">
        <v>11502902.391996652</v>
      </c>
      <c r="AA25" s="133">
        <v>12517905.787102276</v>
      </c>
      <c r="AB25" s="133">
        <v>13242280.534968307</v>
      </c>
      <c r="AC25" s="133">
        <v>14186702.636442365</v>
      </c>
      <c r="AD25" s="133">
        <v>15412295.689917237</v>
      </c>
      <c r="AE25" s="133">
        <v>17112381.407322034</v>
      </c>
      <c r="AF25" s="136">
        <v>584878.73363818147</v>
      </c>
      <c r="AG25" s="133">
        <v>1449567.4223837273</v>
      </c>
      <c r="AH25" s="133">
        <v>1586786.8971365504</v>
      </c>
      <c r="AI25" s="133">
        <v>2272723.6644449239</v>
      </c>
      <c r="AJ25" s="133">
        <v>2921502.8322638702</v>
      </c>
      <c r="AK25" s="133">
        <v>3303146.2142061614</v>
      </c>
      <c r="AL25" s="133">
        <v>3638996.6360057495</v>
      </c>
      <c r="AM25" s="133">
        <v>4580270.407640608</v>
      </c>
      <c r="AN25" s="133">
        <v>5615296.7700224845</v>
      </c>
      <c r="AO25" s="137">
        <v>25953169.57774226</v>
      </c>
      <c r="AP25" s="138"/>
      <c r="AQ25" s="140">
        <v>419000</v>
      </c>
      <c r="AR25" s="126"/>
      <c r="AS25" s="126"/>
      <c r="AT25" s="126"/>
      <c r="AU25" s="126"/>
      <c r="AV25" s="126"/>
      <c r="AW25" s="141">
        <v>25534169.577742252</v>
      </c>
      <c r="AX25" s="132"/>
    </row>
    <row r="26" spans="1:50" ht="26.1" customHeight="1" x14ac:dyDescent="0.25">
      <c r="A26" s="154" t="s">
        <v>355</v>
      </c>
      <c r="B26" s="59" t="s">
        <v>4</v>
      </c>
      <c r="C26" s="145"/>
      <c r="D26" s="60"/>
      <c r="E26" s="143" t="s">
        <v>23</v>
      </c>
      <c r="F26" s="154" t="s">
        <v>355</v>
      </c>
      <c r="G26" s="155"/>
      <c r="H26" s="156">
        <v>45888</v>
      </c>
      <c r="I26" s="157">
        <v>102843.63636363637</v>
      </c>
      <c r="J26" s="152">
        <v>113191.63636363637</v>
      </c>
      <c r="K26" s="152">
        <v>123937.09090909091</v>
      </c>
      <c r="L26" s="152">
        <v>184937.09090909091</v>
      </c>
      <c r="M26" s="152">
        <v>127246.18181818182</v>
      </c>
      <c r="N26" s="152">
        <v>141962.54545454544</v>
      </c>
      <c r="O26" s="152">
        <v>218991.63636363635</v>
      </c>
      <c r="P26" s="152">
        <v>161137.09090909091</v>
      </c>
      <c r="Q26" s="152">
        <v>249337.09090909091</v>
      </c>
      <c r="R26" s="156">
        <v>1423584</v>
      </c>
      <c r="S26" s="157">
        <f>+R27*S27+R28*S28+R29*S29</f>
        <v>1423584</v>
      </c>
      <c r="T26" s="145"/>
      <c r="U26" s="161">
        <f>+R27*U27+R28*U28+R29*U29</f>
        <v>0</v>
      </c>
      <c r="V26" s="159"/>
      <c r="W26" s="157">
        <v>177830.54545454544</v>
      </c>
      <c r="X26" s="152">
        <v>196667.16363636364</v>
      </c>
      <c r="Y26" s="152">
        <v>214848.98181818181</v>
      </c>
      <c r="Z26" s="152">
        <v>290514.43636363634</v>
      </c>
      <c r="AA26" s="152">
        <v>215841.70909090908</v>
      </c>
      <c r="AB26" s="152">
        <v>234023.52727272728</v>
      </c>
      <c r="AC26" s="152">
        <v>338619.89090909093</v>
      </c>
      <c r="AD26" s="152">
        <v>272041.70909090911</v>
      </c>
      <c r="AE26" s="156">
        <v>395678.07272727275</v>
      </c>
      <c r="AF26" s="157">
        <v>74986.909090909088</v>
      </c>
      <c r="AG26" s="152">
        <v>83475.527272727268</v>
      </c>
      <c r="AH26" s="152">
        <v>90911.890909090915</v>
      </c>
      <c r="AI26" s="152">
        <v>105577.34545454546</v>
      </c>
      <c r="AJ26" s="152">
        <v>88595.527272727268</v>
      </c>
      <c r="AK26" s="152">
        <v>92060.981818181812</v>
      </c>
      <c r="AL26" s="152">
        <v>119628.25454545455</v>
      </c>
      <c r="AM26" s="152">
        <v>110904.61818181818</v>
      </c>
      <c r="AN26" s="152">
        <v>146340.98181818181</v>
      </c>
      <c r="AO26" s="156">
        <v>912482.03636363638</v>
      </c>
      <c r="AP26" s="158"/>
      <c r="AQ26" s="160">
        <v>229000</v>
      </c>
      <c r="AR26" s="145"/>
      <c r="AS26" s="145"/>
      <c r="AT26" s="145"/>
      <c r="AU26" s="145"/>
      <c r="AV26" s="145"/>
      <c r="AW26" s="152">
        <v>683482.03636363638</v>
      </c>
      <c r="AX26" s="151"/>
    </row>
    <row r="27" spans="1:50" ht="26.1" customHeight="1" x14ac:dyDescent="0.25">
      <c r="A27" s="265" t="s">
        <v>355</v>
      </c>
      <c r="B27" s="74" t="s">
        <v>4</v>
      </c>
      <c r="C27" s="75" t="s">
        <v>409</v>
      </c>
      <c r="D27" s="75" t="s">
        <v>25</v>
      </c>
      <c r="E27" s="237" t="s">
        <v>390</v>
      </c>
      <c r="F27" s="68" t="s">
        <v>312</v>
      </c>
      <c r="G27" s="48" t="s">
        <v>323</v>
      </c>
      <c r="H27" s="269">
        <v>36363.63636363636</v>
      </c>
      <c r="I27" s="212">
        <v>36363.63636363636</v>
      </c>
      <c r="J27" s="170">
        <v>45454.545454545456</v>
      </c>
      <c r="K27" s="170">
        <v>54545.454545454544</v>
      </c>
      <c r="L27" s="170">
        <v>54545.454545454544</v>
      </c>
      <c r="M27" s="170">
        <v>54545.454545454544</v>
      </c>
      <c r="N27" s="170">
        <v>63636.36363636364</v>
      </c>
      <c r="O27" s="170">
        <v>63636.36363636364</v>
      </c>
      <c r="P27" s="170">
        <v>81818.181818181823</v>
      </c>
      <c r="Q27" s="170">
        <v>81818.181818181823</v>
      </c>
      <c r="R27" s="213">
        <v>536363.63636363635</v>
      </c>
      <c r="S27" s="270">
        <v>1</v>
      </c>
      <c r="T27" s="48" t="s">
        <v>324</v>
      </c>
      <c r="U27" s="48"/>
      <c r="V27" s="243"/>
      <c r="W27" s="212">
        <v>72727.272727272721</v>
      </c>
      <c r="X27" s="170">
        <v>90909.090909090912</v>
      </c>
      <c r="Y27" s="170">
        <v>109090.90909090909</v>
      </c>
      <c r="Z27" s="170">
        <v>109090.90909090909</v>
      </c>
      <c r="AA27" s="170">
        <v>109090.90909090909</v>
      </c>
      <c r="AB27" s="170">
        <v>127272.72727272728</v>
      </c>
      <c r="AC27" s="170">
        <v>127272.72727272728</v>
      </c>
      <c r="AD27" s="170">
        <v>163636.36363636365</v>
      </c>
      <c r="AE27" s="213">
        <v>163636.36363636365</v>
      </c>
      <c r="AF27" s="212">
        <v>36363.63636363636</v>
      </c>
      <c r="AG27" s="170">
        <v>45454.545454545456</v>
      </c>
      <c r="AH27" s="170">
        <v>54545.454545454544</v>
      </c>
      <c r="AI27" s="170">
        <v>54545.454545454544</v>
      </c>
      <c r="AJ27" s="170">
        <v>54545.454545454544</v>
      </c>
      <c r="AK27" s="170">
        <v>63636.36363636364</v>
      </c>
      <c r="AL27" s="170">
        <v>63636.36363636364</v>
      </c>
      <c r="AM27" s="170">
        <v>81818.181818181823</v>
      </c>
      <c r="AN27" s="170">
        <v>81818.181818181823</v>
      </c>
      <c r="AO27" s="213">
        <v>536363.63636363635</v>
      </c>
      <c r="AP27" s="219"/>
      <c r="AQ27" s="220"/>
      <c r="AR27" s="220"/>
      <c r="AS27" s="210"/>
      <c r="AT27" s="210"/>
      <c r="AU27" s="210"/>
      <c r="AV27" s="210"/>
      <c r="AW27" s="221">
        <v>536363.63636363635</v>
      </c>
      <c r="AX27" s="222"/>
    </row>
    <row r="28" spans="1:50" ht="26.1" customHeight="1" x14ac:dyDescent="0.25">
      <c r="A28" s="185"/>
      <c r="B28" s="80"/>
      <c r="C28" s="81"/>
      <c r="D28" s="81"/>
      <c r="E28" s="237" t="s">
        <v>391</v>
      </c>
      <c r="F28" s="68" t="s">
        <v>312</v>
      </c>
      <c r="G28" s="48" t="s">
        <v>323</v>
      </c>
      <c r="H28" s="241">
        <v>0</v>
      </c>
      <c r="I28" s="212">
        <v>54574.545454545456</v>
      </c>
      <c r="J28" s="170">
        <v>55236.36363636364</v>
      </c>
      <c r="K28" s="170">
        <v>56890.909090909088</v>
      </c>
      <c r="L28" s="170">
        <v>117890.90909090909</v>
      </c>
      <c r="M28" s="170">
        <v>60200</v>
      </c>
      <c r="N28" s="170">
        <v>65825.454545454544</v>
      </c>
      <c r="O28" s="170">
        <v>142854.54545454544</v>
      </c>
      <c r="P28" s="170">
        <v>66818.181818181823</v>
      </c>
      <c r="Q28" s="170">
        <v>155018.18181818182</v>
      </c>
      <c r="R28" s="213">
        <v>775309.09090909094</v>
      </c>
      <c r="S28" s="242">
        <v>1</v>
      </c>
      <c r="T28" s="48"/>
      <c r="U28" s="48"/>
      <c r="V28" s="243"/>
      <c r="W28" s="212">
        <v>92007.272727272721</v>
      </c>
      <c r="X28" s="170">
        <v>92007.272727272721</v>
      </c>
      <c r="Y28" s="170">
        <v>92007.272727272721</v>
      </c>
      <c r="Z28" s="170">
        <v>167672.72727272726</v>
      </c>
      <c r="AA28" s="170">
        <v>93000</v>
      </c>
      <c r="AB28" s="170">
        <v>93000</v>
      </c>
      <c r="AC28" s="170">
        <v>197596.36363636365</v>
      </c>
      <c r="AD28" s="170">
        <v>94654.545454545456</v>
      </c>
      <c r="AE28" s="213">
        <v>218290.90909090909</v>
      </c>
      <c r="AF28" s="212">
        <v>37432.727272727272</v>
      </c>
      <c r="AG28" s="170">
        <v>36770.909090909088</v>
      </c>
      <c r="AH28" s="170">
        <v>35116.36363636364</v>
      </c>
      <c r="AI28" s="170">
        <v>49781.818181818184</v>
      </c>
      <c r="AJ28" s="170">
        <v>32800</v>
      </c>
      <c r="AK28" s="170">
        <v>27174.545454545456</v>
      </c>
      <c r="AL28" s="170">
        <v>54741.818181818184</v>
      </c>
      <c r="AM28" s="170">
        <v>27836.363636363636</v>
      </c>
      <c r="AN28" s="170">
        <v>63272.727272727272</v>
      </c>
      <c r="AO28" s="213">
        <v>364927.27272727271</v>
      </c>
      <c r="AP28" s="219"/>
      <c r="AQ28" s="220">
        <v>229000</v>
      </c>
      <c r="AR28" s="220" t="s">
        <v>360</v>
      </c>
      <c r="AS28" s="210"/>
      <c r="AT28" s="210"/>
      <c r="AU28" s="210"/>
      <c r="AV28" s="210"/>
      <c r="AW28" s="221">
        <v>135927.27272727274</v>
      </c>
      <c r="AX28" s="222"/>
    </row>
    <row r="29" spans="1:50" ht="26.1" customHeight="1" x14ac:dyDescent="0.25">
      <c r="A29" s="205" t="s">
        <v>355</v>
      </c>
      <c r="B29" s="47" t="s">
        <v>4</v>
      </c>
      <c r="C29" s="48" t="s">
        <v>407</v>
      </c>
      <c r="D29" s="48" t="s">
        <v>395</v>
      </c>
      <c r="E29" s="204" t="s">
        <v>361</v>
      </c>
      <c r="F29" s="68" t="s">
        <v>312</v>
      </c>
      <c r="G29" s="48" t="s">
        <v>323</v>
      </c>
      <c r="H29" s="273">
        <v>9524.363636363636</v>
      </c>
      <c r="I29" s="212">
        <v>11905.454545454546</v>
      </c>
      <c r="J29" s="170">
        <v>12500.727272727272</v>
      </c>
      <c r="K29" s="170">
        <v>12500.727272727272</v>
      </c>
      <c r="L29" s="170">
        <v>12500.727272727272</v>
      </c>
      <c r="M29" s="170">
        <v>12500.727272727272</v>
      </c>
      <c r="N29" s="170">
        <v>12500.727272727272</v>
      </c>
      <c r="O29" s="170">
        <v>12500.727272727272</v>
      </c>
      <c r="P29" s="170">
        <v>12500.727272727272</v>
      </c>
      <c r="Q29" s="170">
        <v>12500.727272727272</v>
      </c>
      <c r="R29" s="213">
        <v>111911.27272727272</v>
      </c>
      <c r="S29" s="274">
        <v>1</v>
      </c>
      <c r="T29" s="170">
        <v>0.1</v>
      </c>
      <c r="U29" s="170">
        <v>0</v>
      </c>
      <c r="V29" s="213"/>
      <c r="W29" s="212">
        <v>13096</v>
      </c>
      <c r="X29" s="170">
        <v>13750.8</v>
      </c>
      <c r="Y29" s="170">
        <v>13750.8</v>
      </c>
      <c r="Z29" s="170">
        <v>13750.8</v>
      </c>
      <c r="AA29" s="170">
        <v>13750.8</v>
      </c>
      <c r="AB29" s="170">
        <v>13750.8</v>
      </c>
      <c r="AC29" s="170">
        <v>13750.8</v>
      </c>
      <c r="AD29" s="170">
        <v>13750.8</v>
      </c>
      <c r="AE29" s="213">
        <v>13750.8</v>
      </c>
      <c r="AF29" s="212">
        <v>1190.5454545454545</v>
      </c>
      <c r="AG29" s="170">
        <v>1250.0727272727272</v>
      </c>
      <c r="AH29" s="170">
        <v>1250.0727272727272</v>
      </c>
      <c r="AI29" s="170">
        <v>1250.0727272727272</v>
      </c>
      <c r="AJ29" s="170">
        <v>1250.0727272727272</v>
      </c>
      <c r="AK29" s="170">
        <v>1250.0727272727272</v>
      </c>
      <c r="AL29" s="170">
        <v>1250.0727272727272</v>
      </c>
      <c r="AM29" s="170">
        <v>1250.0727272727272</v>
      </c>
      <c r="AN29" s="170">
        <v>1250.0727272727272</v>
      </c>
      <c r="AO29" s="213">
        <v>11191.127272727274</v>
      </c>
      <c r="AP29" s="219"/>
      <c r="AQ29" s="220"/>
      <c r="AR29" s="220"/>
      <c r="AS29" s="210"/>
      <c r="AT29" s="210"/>
      <c r="AU29" s="210"/>
      <c r="AV29" s="210"/>
      <c r="AW29" s="221">
        <v>11191.127272727274</v>
      </c>
      <c r="AX29" s="222"/>
    </row>
    <row r="30" spans="1:50" ht="26.1" customHeight="1" x14ac:dyDescent="0.25">
      <c r="A30" s="144" t="s">
        <v>357</v>
      </c>
      <c r="B30" s="59" t="s">
        <v>4</v>
      </c>
      <c r="C30" s="145"/>
      <c r="D30" s="60"/>
      <c r="E30" s="143" t="s">
        <v>27</v>
      </c>
      <c r="F30" s="154" t="s">
        <v>357</v>
      </c>
      <c r="G30" s="155"/>
      <c r="H30" s="156">
        <v>0</v>
      </c>
      <c r="I30" s="157">
        <v>3158000</v>
      </c>
      <c r="J30" s="152">
        <v>1396181.8181818181</v>
      </c>
      <c r="K30" s="152">
        <v>853454.54545454541</v>
      </c>
      <c r="L30" s="152">
        <v>880727.27272727271</v>
      </c>
      <c r="M30" s="152">
        <v>986909.09090909094</v>
      </c>
      <c r="N30" s="152">
        <v>947272.72727272729</v>
      </c>
      <c r="O30" s="152">
        <v>1162727.2727272727</v>
      </c>
      <c r="P30" s="152">
        <v>1137272.7272727273</v>
      </c>
      <c r="Q30" s="152">
        <v>1328181.8181818181</v>
      </c>
      <c r="R30" s="156">
        <v>11850727.272727273</v>
      </c>
      <c r="S30" s="157">
        <f>+R31*S31</f>
        <v>11850727.272727272</v>
      </c>
      <c r="T30" s="152"/>
      <c r="U30" s="152">
        <f>+R31*U31</f>
        <v>0</v>
      </c>
      <c r="V30" s="159"/>
      <c r="W30" s="157">
        <v>3106181.8181818184</v>
      </c>
      <c r="X30" s="152">
        <v>1893454.5454545454</v>
      </c>
      <c r="Y30" s="152">
        <v>1114363.6345454545</v>
      </c>
      <c r="Z30" s="152">
        <v>1396181.8181818181</v>
      </c>
      <c r="AA30" s="152">
        <v>1695090.9090909092</v>
      </c>
      <c r="AB30" s="152">
        <v>1480909.0909090908</v>
      </c>
      <c r="AC30" s="152">
        <v>1416363.6363636365</v>
      </c>
      <c r="AD30" s="152">
        <v>1658181.8181818181</v>
      </c>
      <c r="AE30" s="156">
        <v>2080000.0018181817</v>
      </c>
      <c r="AF30" s="157">
        <v>-51818.181818181816</v>
      </c>
      <c r="AG30" s="152">
        <v>497272.72727272729</v>
      </c>
      <c r="AH30" s="152">
        <v>260909.08909090908</v>
      </c>
      <c r="AI30" s="152">
        <v>515454.54545454547</v>
      </c>
      <c r="AJ30" s="152">
        <v>708181.81818181823</v>
      </c>
      <c r="AK30" s="152">
        <v>533636.36363636365</v>
      </c>
      <c r="AL30" s="152">
        <v>253636.36363636365</v>
      </c>
      <c r="AM30" s="152">
        <v>520909.09090909088</v>
      </c>
      <c r="AN30" s="152">
        <v>751818.1836363636</v>
      </c>
      <c r="AO30" s="156">
        <v>3990000</v>
      </c>
      <c r="AP30" s="158"/>
      <c r="AQ30" s="160">
        <v>100000</v>
      </c>
      <c r="AR30" s="145"/>
      <c r="AS30" s="145"/>
      <c r="AT30" s="145"/>
      <c r="AU30" s="145"/>
      <c r="AV30" s="145"/>
      <c r="AW30" s="161">
        <v>3890000</v>
      </c>
      <c r="AX30" s="151"/>
    </row>
    <row r="31" spans="1:50" ht="26.1" customHeight="1" x14ac:dyDescent="0.25">
      <c r="A31" s="275" t="s">
        <v>357</v>
      </c>
      <c r="B31" s="47" t="s">
        <v>4</v>
      </c>
      <c r="C31" s="48" t="s">
        <v>409</v>
      </c>
      <c r="D31" s="48" t="s">
        <v>25</v>
      </c>
      <c r="E31" s="237" t="s">
        <v>28</v>
      </c>
      <c r="F31" s="68" t="s">
        <v>349</v>
      </c>
      <c r="G31" s="48" t="s">
        <v>323</v>
      </c>
      <c r="H31" s="241">
        <v>0</v>
      </c>
      <c r="I31" s="212">
        <v>3158000</v>
      </c>
      <c r="J31" s="170">
        <v>1396181.8181818181</v>
      </c>
      <c r="K31" s="170">
        <v>853454.54545454541</v>
      </c>
      <c r="L31" s="170">
        <v>880727.27272727271</v>
      </c>
      <c r="M31" s="170">
        <v>986909.09090909094</v>
      </c>
      <c r="N31" s="170">
        <v>947272.72727272729</v>
      </c>
      <c r="O31" s="170">
        <v>1162727.2727272727</v>
      </c>
      <c r="P31" s="170">
        <v>1137272.7272727273</v>
      </c>
      <c r="Q31" s="170">
        <v>1328181.8181818181</v>
      </c>
      <c r="R31" s="213">
        <f>SUM(I31:Q31)</f>
        <v>11850727.272727272</v>
      </c>
      <c r="S31" s="242">
        <v>1</v>
      </c>
      <c r="T31" s="48"/>
      <c r="U31" s="48"/>
      <c r="V31" s="243"/>
      <c r="W31" s="212">
        <v>3106181.8181818184</v>
      </c>
      <c r="X31" s="170">
        <v>1893454.5454545454</v>
      </c>
      <c r="Y31" s="170">
        <v>1114363.6345454545</v>
      </c>
      <c r="Z31" s="170">
        <v>1396181.8181818181</v>
      </c>
      <c r="AA31" s="170">
        <v>1695090.9090909092</v>
      </c>
      <c r="AB31" s="170">
        <v>1480909.0909090908</v>
      </c>
      <c r="AC31" s="170">
        <v>1416363.6363636365</v>
      </c>
      <c r="AD31" s="170">
        <v>1658181.8181818181</v>
      </c>
      <c r="AE31" s="213">
        <v>2080000.0018181817</v>
      </c>
      <c r="AF31" s="212">
        <v>-51818.181818181816</v>
      </c>
      <c r="AG31" s="170">
        <v>497272.72727272729</v>
      </c>
      <c r="AH31" s="170">
        <v>260909.08909090908</v>
      </c>
      <c r="AI31" s="170">
        <v>515454.54545454547</v>
      </c>
      <c r="AJ31" s="170">
        <v>708181.81818181823</v>
      </c>
      <c r="AK31" s="170">
        <v>533636.36363636365</v>
      </c>
      <c r="AL31" s="170">
        <v>253636.36363636365</v>
      </c>
      <c r="AM31" s="170">
        <v>520909.09090909088</v>
      </c>
      <c r="AN31" s="170">
        <v>751818.1836363636</v>
      </c>
      <c r="AO31" s="213">
        <v>3990000</v>
      </c>
      <c r="AP31" s="219"/>
      <c r="AQ31" s="220">
        <v>100000</v>
      </c>
      <c r="AR31" s="220" t="s">
        <v>326</v>
      </c>
      <c r="AS31" s="210"/>
      <c r="AT31" s="210"/>
      <c r="AU31" s="210"/>
      <c r="AV31" s="210"/>
      <c r="AW31" s="221">
        <v>3890000</v>
      </c>
      <c r="AX31" s="222"/>
    </row>
    <row r="32" spans="1:50" ht="26.1" customHeight="1" x14ac:dyDescent="0.25">
      <c r="A32" s="144" t="s">
        <v>357</v>
      </c>
      <c r="B32" s="59" t="s">
        <v>4</v>
      </c>
      <c r="C32" s="145"/>
      <c r="D32" s="60"/>
      <c r="E32" s="143" t="s">
        <v>29</v>
      </c>
      <c r="F32" s="154" t="s">
        <v>357</v>
      </c>
      <c r="G32" s="155"/>
      <c r="H32" s="156">
        <v>6256636.3702000007</v>
      </c>
      <c r="I32" s="157">
        <v>7326190.9727454549</v>
      </c>
      <c r="J32" s="152">
        <v>7573550.3395645451</v>
      </c>
      <c r="K32" s="152">
        <v>7861854.511088226</v>
      </c>
      <c r="L32" s="152">
        <v>8164514.3639153652</v>
      </c>
      <c r="M32" s="152">
        <v>8482247.6821111329</v>
      </c>
      <c r="N32" s="152">
        <v>8849899.0480348729</v>
      </c>
      <c r="O32" s="152">
        <v>9165987.091345707</v>
      </c>
      <c r="P32" s="152">
        <v>9533615.4640948102</v>
      </c>
      <c r="Q32" s="152">
        <v>9919565.7282086425</v>
      </c>
      <c r="R32" s="156">
        <v>76877425.201108769</v>
      </c>
      <c r="S32" s="157">
        <f>+R33*S33+R34*S34+R35*S35</f>
        <v>69235877.60551092</v>
      </c>
      <c r="T32" s="145"/>
      <c r="U32" s="161">
        <f>+R33*U33+R34*U34+R35*U35</f>
        <v>7641547.5955978502</v>
      </c>
      <c r="V32" s="159"/>
      <c r="W32" s="157">
        <v>7887900.9791109087</v>
      </c>
      <c r="X32" s="152">
        <v>8442369.5074028187</v>
      </c>
      <c r="Y32" s="152">
        <v>9096820.4282247778</v>
      </c>
      <c r="Z32" s="152">
        <v>9816206.137451198</v>
      </c>
      <c r="AA32" s="152">
        <v>10606973.168920457</v>
      </c>
      <c r="AB32" s="152">
        <v>11527347.916786488</v>
      </c>
      <c r="AC32" s="152">
        <v>12431719.109169638</v>
      </c>
      <c r="AD32" s="152">
        <v>13482072.162644509</v>
      </c>
      <c r="AE32" s="156">
        <v>14636703.332776582</v>
      </c>
      <c r="AF32" s="157">
        <v>561710.00636545417</v>
      </c>
      <c r="AG32" s="152">
        <v>868819.16783827252</v>
      </c>
      <c r="AH32" s="152">
        <v>1234965.9171365504</v>
      </c>
      <c r="AI32" s="152">
        <v>1651691.773535833</v>
      </c>
      <c r="AJ32" s="152">
        <v>2124725.4868093249</v>
      </c>
      <c r="AK32" s="152">
        <v>2677448.8687516162</v>
      </c>
      <c r="AL32" s="152">
        <v>3265732.0178239313</v>
      </c>
      <c r="AM32" s="152">
        <v>3948456.698549699</v>
      </c>
      <c r="AN32" s="152">
        <v>4717137.6045679385</v>
      </c>
      <c r="AO32" s="156">
        <v>21050687.541378617</v>
      </c>
      <c r="AP32" s="158"/>
      <c r="AQ32" s="160">
        <v>90000</v>
      </c>
      <c r="AR32" s="145"/>
      <c r="AS32" s="145"/>
      <c r="AT32" s="145"/>
      <c r="AU32" s="145"/>
      <c r="AV32" s="145"/>
      <c r="AW32" s="152">
        <v>20960687.541378617</v>
      </c>
      <c r="AX32" s="151"/>
    </row>
    <row r="33" spans="1:50" ht="42" customHeight="1" x14ac:dyDescent="0.25">
      <c r="A33" s="205" t="s">
        <v>357</v>
      </c>
      <c r="B33" s="47" t="s">
        <v>4</v>
      </c>
      <c r="C33" s="48" t="s">
        <v>407</v>
      </c>
      <c r="D33" s="48" t="s">
        <v>395</v>
      </c>
      <c r="E33" s="204" t="s">
        <v>365</v>
      </c>
      <c r="F33" s="68" t="s">
        <v>349</v>
      </c>
      <c r="G33" s="48" t="s">
        <v>323</v>
      </c>
      <c r="H33" s="269">
        <v>4278218.4101818176</v>
      </c>
      <c r="I33" s="212">
        <v>5347773.0127272727</v>
      </c>
      <c r="J33" s="170">
        <v>5587120.5724545456</v>
      </c>
      <c r="K33" s="170">
        <v>5867012.3465318177</v>
      </c>
      <c r="L33" s="170">
        <v>6160839.1820402266</v>
      </c>
      <c r="M33" s="170">
        <v>6469297.8320513293</v>
      </c>
      <c r="N33" s="170">
        <v>6827210.7963811681</v>
      </c>
      <c r="O33" s="170">
        <v>7133073.5180184087</v>
      </c>
      <c r="P33" s="170">
        <v>7489965.3030102383</v>
      </c>
      <c r="Q33" s="170">
        <v>7864642.1499789329</v>
      </c>
      <c r="R33" s="213">
        <v>58746934.713193946</v>
      </c>
      <c r="S33" s="276">
        <v>0.9</v>
      </c>
      <c r="T33" s="170"/>
      <c r="U33" s="277">
        <v>0.1</v>
      </c>
      <c r="V33" s="213"/>
      <c r="W33" s="212">
        <v>5893459.4049090901</v>
      </c>
      <c r="X33" s="170">
        <v>6439114.9453999996</v>
      </c>
      <c r="Y33" s="170">
        <v>7084312.229030909</v>
      </c>
      <c r="Z33" s="170">
        <v>7793981.6192067275</v>
      </c>
      <c r="AA33" s="170">
        <v>8574546.5156728551</v>
      </c>
      <c r="AB33" s="170">
        <v>9484209.0217855964</v>
      </c>
      <c r="AC33" s="170">
        <v>10377332.360327791</v>
      </c>
      <c r="AD33" s="170">
        <v>11415875.167269662</v>
      </c>
      <c r="AE33" s="213">
        <v>12558105.578542082</v>
      </c>
      <c r="AF33" s="212">
        <v>545686.39218181779</v>
      </c>
      <c r="AG33" s="170">
        <v>851994.37294545432</v>
      </c>
      <c r="AH33" s="170">
        <v>1217299.8824990913</v>
      </c>
      <c r="AI33" s="170">
        <v>1633142.4371665011</v>
      </c>
      <c r="AJ33" s="170">
        <v>2105248.6836215262</v>
      </c>
      <c r="AK33" s="170">
        <v>2656998.2254044274</v>
      </c>
      <c r="AL33" s="170">
        <v>3244258.8423093832</v>
      </c>
      <c r="AM33" s="170">
        <v>3925909.8642594232</v>
      </c>
      <c r="AN33" s="170">
        <v>4693463.4285631496</v>
      </c>
      <c r="AO33" s="213">
        <v>20874002.128950771</v>
      </c>
      <c r="AP33" s="219"/>
      <c r="AQ33" s="220">
        <v>15000</v>
      </c>
      <c r="AR33" s="220" t="s">
        <v>363</v>
      </c>
      <c r="AS33" s="210"/>
      <c r="AT33" s="210"/>
      <c r="AU33" s="210"/>
      <c r="AV33" s="210"/>
      <c r="AW33" s="221">
        <v>20859002.128950771</v>
      </c>
      <c r="AX33" s="222"/>
    </row>
    <row r="34" spans="1:50" ht="25.5" customHeight="1" x14ac:dyDescent="0.25">
      <c r="A34" s="164" t="s">
        <v>357</v>
      </c>
      <c r="B34" s="74" t="s">
        <v>4</v>
      </c>
      <c r="C34" s="48" t="s">
        <v>407</v>
      </c>
      <c r="D34" s="75" t="s">
        <v>395</v>
      </c>
      <c r="E34" s="204" t="s">
        <v>366</v>
      </c>
      <c r="F34" s="68" t="s">
        <v>349</v>
      </c>
      <c r="G34" s="48" t="s">
        <v>323</v>
      </c>
      <c r="H34" s="269">
        <v>160236.14183636365</v>
      </c>
      <c r="I34" s="212">
        <v>160236.14183636365</v>
      </c>
      <c r="J34" s="170">
        <v>168247.94892818184</v>
      </c>
      <c r="K34" s="170">
        <v>176660.34637459091</v>
      </c>
      <c r="L34" s="170">
        <v>185493.36369332045</v>
      </c>
      <c r="M34" s="170">
        <v>194768.03187798648</v>
      </c>
      <c r="N34" s="170">
        <v>204506.43347188577</v>
      </c>
      <c r="O34" s="170">
        <v>214731.75514548007</v>
      </c>
      <c r="P34" s="170">
        <v>225468.34290275406</v>
      </c>
      <c r="Q34" s="170">
        <v>236741.76004789176</v>
      </c>
      <c r="R34" s="213">
        <v>1766854.1242784548</v>
      </c>
      <c r="S34" s="212">
        <v>0</v>
      </c>
      <c r="T34" s="170"/>
      <c r="U34" s="277">
        <v>1</v>
      </c>
      <c r="V34" s="213"/>
      <c r="W34" s="212">
        <v>176259.75602</v>
      </c>
      <c r="X34" s="170">
        <v>185072.74382100001</v>
      </c>
      <c r="Y34" s="170">
        <v>194326.38101205</v>
      </c>
      <c r="Z34" s="170">
        <v>204042.7000626525</v>
      </c>
      <c r="AA34" s="170">
        <v>214244.8350657851</v>
      </c>
      <c r="AB34" s="170">
        <v>224957.07681907437</v>
      </c>
      <c r="AC34" s="170">
        <v>236204.93066002807</v>
      </c>
      <c r="AD34" s="170">
        <v>248015.17719302946</v>
      </c>
      <c r="AE34" s="213">
        <v>260415.93605268095</v>
      </c>
      <c r="AF34" s="212">
        <v>16023.614183636362</v>
      </c>
      <c r="AG34" s="170">
        <v>16824.794892818198</v>
      </c>
      <c r="AH34" s="170">
        <v>17666.034637459084</v>
      </c>
      <c r="AI34" s="170">
        <v>18549.33636933205</v>
      </c>
      <c r="AJ34" s="170">
        <v>19476.80318779864</v>
      </c>
      <c r="AK34" s="170">
        <v>20450.643347188587</v>
      </c>
      <c r="AL34" s="170">
        <v>21473.175514548013</v>
      </c>
      <c r="AM34" s="170">
        <v>22546.834290275412</v>
      </c>
      <c r="AN34" s="170">
        <v>23674.176004789173</v>
      </c>
      <c r="AO34" s="213">
        <v>176685.41242784553</v>
      </c>
      <c r="AP34" s="219"/>
      <c r="AQ34" s="220">
        <v>75000</v>
      </c>
      <c r="AR34" s="220" t="s">
        <v>364</v>
      </c>
      <c r="AS34" s="210"/>
      <c r="AT34" s="210"/>
      <c r="AU34" s="210"/>
      <c r="AV34" s="210"/>
      <c r="AW34" s="221">
        <v>101685.41242784551</v>
      </c>
      <c r="AX34" s="222"/>
    </row>
    <row r="35" spans="1:50" ht="25.5" customHeight="1" x14ac:dyDescent="0.25">
      <c r="A35" s="280" t="s">
        <v>355</v>
      </c>
      <c r="B35" s="47" t="s">
        <v>4</v>
      </c>
      <c r="C35" s="48" t="s">
        <v>406</v>
      </c>
      <c r="D35" s="48" t="s">
        <v>63</v>
      </c>
      <c r="E35" s="279" t="s">
        <v>392</v>
      </c>
      <c r="F35" s="257" t="s">
        <v>312</v>
      </c>
      <c r="G35" s="48" t="s">
        <v>323</v>
      </c>
      <c r="H35" s="252">
        <v>1818181.8181818181</v>
      </c>
      <c r="I35" s="212">
        <v>1818181.8181818181</v>
      </c>
      <c r="J35" s="170">
        <v>1818181.8181818181</v>
      </c>
      <c r="K35" s="170">
        <v>1818181.8181818181</v>
      </c>
      <c r="L35" s="170">
        <v>1818181.8181818181</v>
      </c>
      <c r="M35" s="170">
        <v>1818181.8181818181</v>
      </c>
      <c r="N35" s="170">
        <v>1818181.8181818181</v>
      </c>
      <c r="O35" s="170">
        <v>1818181.8181818181</v>
      </c>
      <c r="P35" s="170">
        <v>1818181.8181818181</v>
      </c>
      <c r="Q35" s="170">
        <v>1818181.8181818181</v>
      </c>
      <c r="R35" s="213">
        <v>16363636.363636363</v>
      </c>
      <c r="S35" s="285">
        <v>1</v>
      </c>
      <c r="T35" s="48"/>
      <c r="U35" s="48"/>
      <c r="V35" s="216"/>
      <c r="W35" s="212">
        <v>1818181.8181818181</v>
      </c>
      <c r="X35" s="170">
        <v>1818181.8181818181</v>
      </c>
      <c r="Y35" s="170">
        <v>1818181.8181818181</v>
      </c>
      <c r="Z35" s="170">
        <v>1818181.8181818181</v>
      </c>
      <c r="AA35" s="170">
        <v>1818181.8181818181</v>
      </c>
      <c r="AB35" s="170">
        <v>1818181.8181818181</v>
      </c>
      <c r="AC35" s="170">
        <v>1818181.8181818181</v>
      </c>
      <c r="AD35" s="170">
        <v>1818181.8181818181</v>
      </c>
      <c r="AE35" s="213">
        <v>1818181.8181818181</v>
      </c>
      <c r="AF35" s="217">
        <v>0</v>
      </c>
      <c r="AG35" s="217">
        <v>0</v>
      </c>
      <c r="AH35" s="217">
        <v>0</v>
      </c>
      <c r="AI35" s="217">
        <v>0</v>
      </c>
      <c r="AJ35" s="217">
        <v>0</v>
      </c>
      <c r="AK35" s="217">
        <v>0</v>
      </c>
      <c r="AL35" s="217">
        <v>0</v>
      </c>
      <c r="AM35" s="217">
        <v>0</v>
      </c>
      <c r="AN35" s="217">
        <v>0</v>
      </c>
      <c r="AO35" s="218">
        <v>0</v>
      </c>
      <c r="AP35" s="219"/>
      <c r="AQ35" s="220"/>
      <c r="AR35" s="220"/>
      <c r="AS35" s="210"/>
      <c r="AT35" s="210"/>
      <c r="AU35" s="210"/>
      <c r="AV35" s="210"/>
      <c r="AW35" s="221">
        <v>0</v>
      </c>
      <c r="AX35" s="222"/>
    </row>
    <row r="36" spans="1:50" ht="26.1" customHeight="1" x14ac:dyDescent="0.25">
      <c r="A36" s="124"/>
      <c r="B36" s="55"/>
      <c r="C36" s="126"/>
      <c r="D36" s="56"/>
      <c r="E36" s="123" t="s">
        <v>32</v>
      </c>
      <c r="F36" s="126"/>
      <c r="G36" s="134"/>
      <c r="H36" s="135">
        <v>32115549.167063639</v>
      </c>
      <c r="I36" s="136">
        <v>33762999.561979473</v>
      </c>
      <c r="J36" s="133">
        <v>45242141.523018196</v>
      </c>
      <c r="K36" s="133">
        <v>36861485.346377693</v>
      </c>
      <c r="L36" s="133">
        <v>39335228.530032955</v>
      </c>
      <c r="M36" s="133">
        <v>39247843.1173108</v>
      </c>
      <c r="N36" s="133">
        <v>39550300.867899217</v>
      </c>
      <c r="O36" s="133">
        <v>41567241.187839806</v>
      </c>
      <c r="P36" s="133">
        <v>43624468.63184718</v>
      </c>
      <c r="Q36" s="133">
        <v>45784557.448054925</v>
      </c>
      <c r="R36" s="137">
        <v>364976266.2143603</v>
      </c>
      <c r="S36" s="136">
        <f>+S37+S41+S52</f>
        <v>342822330.38135868</v>
      </c>
      <c r="T36" s="133"/>
      <c r="U36" s="133">
        <f>+U37+U41+U52</f>
        <v>22245572.196637835</v>
      </c>
      <c r="V36" s="139"/>
      <c r="W36" s="136">
        <v>50637397.327662289</v>
      </c>
      <c r="X36" s="133">
        <v>64477506.826679617</v>
      </c>
      <c r="Y36" s="133">
        <v>59430640.615159839</v>
      </c>
      <c r="Z36" s="133">
        <v>63472269.777476378</v>
      </c>
      <c r="AA36" s="133">
        <v>64997315.797960773</v>
      </c>
      <c r="AB36" s="133">
        <v>67883477.709028646</v>
      </c>
      <c r="AC36" s="133">
        <v>70533031.280357778</v>
      </c>
      <c r="AD36" s="133">
        <v>73173235.61211732</v>
      </c>
      <c r="AE36" s="137">
        <v>77960664.952440888</v>
      </c>
      <c r="AF36" s="136">
        <v>16874397.765682809</v>
      </c>
      <c r="AG36" s="133">
        <v>19235365.303661425</v>
      </c>
      <c r="AH36" s="133">
        <v>22569155.26878215</v>
      </c>
      <c r="AI36" s="133">
        <v>24137041.247443426</v>
      </c>
      <c r="AJ36" s="133">
        <v>25749472.680649981</v>
      </c>
      <c r="AK36" s="133">
        <v>28333176.841129426</v>
      </c>
      <c r="AL36" s="133">
        <v>28965790.092517976</v>
      </c>
      <c r="AM36" s="133">
        <v>29548766.980270147</v>
      </c>
      <c r="AN36" s="133">
        <v>32176107.504385967</v>
      </c>
      <c r="AO36" s="137">
        <v>227589273.68452328</v>
      </c>
      <c r="AP36" s="138"/>
      <c r="AQ36" s="140">
        <v>553300</v>
      </c>
      <c r="AR36" s="126"/>
      <c r="AS36" s="126"/>
      <c r="AT36" s="126"/>
      <c r="AU36" s="126"/>
      <c r="AV36" s="126"/>
      <c r="AW36" s="141">
        <v>227035973.68452331</v>
      </c>
      <c r="AX36" s="132"/>
    </row>
    <row r="37" spans="1:50" ht="26.1" customHeight="1" x14ac:dyDescent="0.25">
      <c r="A37" s="287" t="s">
        <v>355</v>
      </c>
      <c r="B37" s="63" t="s">
        <v>3</v>
      </c>
      <c r="C37" s="288"/>
      <c r="D37" s="64"/>
      <c r="E37" s="286" t="s">
        <v>33</v>
      </c>
      <c r="F37" s="288"/>
      <c r="G37" s="296"/>
      <c r="H37" s="297">
        <v>31969367.348881822</v>
      </c>
      <c r="I37" s="298">
        <v>33451475.086455002</v>
      </c>
      <c r="J37" s="294">
        <v>44813721.942598611</v>
      </c>
      <c r="K37" s="294">
        <v>36432793.038685389</v>
      </c>
      <c r="L37" s="294">
        <v>38906536.222340643</v>
      </c>
      <c r="M37" s="294">
        <v>38819150.809618488</v>
      </c>
      <c r="N37" s="294">
        <v>39121608.560206912</v>
      </c>
      <c r="O37" s="294">
        <v>41144548.880147494</v>
      </c>
      <c r="P37" s="294">
        <v>43201776.324154869</v>
      </c>
      <c r="Q37" s="294">
        <v>45361865.14036262</v>
      </c>
      <c r="R37" s="299">
        <v>361253476.00457001</v>
      </c>
      <c r="S37" s="298">
        <f>+S39+S38</f>
        <v>339578267.44429576</v>
      </c>
      <c r="T37" s="294"/>
      <c r="U37" s="294">
        <f>+U39+U38</f>
        <v>21675208.560274199</v>
      </c>
      <c r="V37" s="301"/>
      <c r="W37" s="298">
        <v>49931698.026962988</v>
      </c>
      <c r="X37" s="294">
        <v>63502468.365141161</v>
      </c>
      <c r="Y37" s="294">
        <v>58450147.608166836</v>
      </c>
      <c r="Z37" s="294">
        <v>62529049.497756101</v>
      </c>
      <c r="AA37" s="294">
        <v>64046822.79096777</v>
      </c>
      <c r="AB37" s="294">
        <v>66954802.883853815</v>
      </c>
      <c r="AC37" s="294">
        <v>69582538.273364767</v>
      </c>
      <c r="AD37" s="294">
        <v>72244560.786942497</v>
      </c>
      <c r="AE37" s="299">
        <v>77010171.945447892</v>
      </c>
      <c r="AF37" s="298">
        <v>16480222.940507986</v>
      </c>
      <c r="AG37" s="294">
        <v>18688746.422542546</v>
      </c>
      <c r="AH37" s="294">
        <v>22017354.569481451</v>
      </c>
      <c r="AI37" s="294">
        <v>23622513.275415454</v>
      </c>
      <c r="AJ37" s="294">
        <v>25227671.981349278</v>
      </c>
      <c r="AK37" s="294">
        <v>27833194.323646907</v>
      </c>
      <c r="AL37" s="294">
        <v>28437989.393217273</v>
      </c>
      <c r="AM37" s="294">
        <v>29042784.462787628</v>
      </c>
      <c r="AN37" s="294">
        <v>31648306.805085268</v>
      </c>
      <c r="AO37" s="299">
        <v>222998784.17403382</v>
      </c>
      <c r="AP37" s="300"/>
      <c r="AQ37" s="302">
        <v>454300</v>
      </c>
      <c r="AR37" s="288"/>
      <c r="AS37" s="288"/>
      <c r="AT37" s="288"/>
      <c r="AU37" s="288"/>
      <c r="AV37" s="288"/>
      <c r="AW37" s="303">
        <v>222544484.17403382</v>
      </c>
      <c r="AX37" s="293"/>
    </row>
    <row r="38" spans="1:50" ht="26.1" customHeight="1" x14ac:dyDescent="0.25">
      <c r="A38" s="144" t="s">
        <v>355</v>
      </c>
      <c r="B38" s="59" t="s">
        <v>3</v>
      </c>
      <c r="C38" s="145"/>
      <c r="D38" s="60"/>
      <c r="E38" s="143" t="s">
        <v>36</v>
      </c>
      <c r="F38" s="154" t="s">
        <v>355</v>
      </c>
      <c r="G38" s="155"/>
      <c r="H38" s="156">
        <v>0</v>
      </c>
      <c r="I38" s="157">
        <v>0</v>
      </c>
      <c r="J38" s="152">
        <v>0</v>
      </c>
      <c r="K38" s="152">
        <v>0</v>
      </c>
      <c r="L38" s="152">
        <v>0</v>
      </c>
      <c r="M38" s="152">
        <v>0</v>
      </c>
      <c r="N38" s="152">
        <v>0</v>
      </c>
      <c r="O38" s="152">
        <v>0</v>
      </c>
      <c r="P38" s="152">
        <v>0</v>
      </c>
      <c r="Q38" s="152">
        <v>0</v>
      </c>
      <c r="R38" s="156">
        <v>0</v>
      </c>
      <c r="S38" s="158"/>
      <c r="T38" s="145"/>
      <c r="U38" s="145"/>
      <c r="V38" s="159"/>
      <c r="W38" s="157">
        <v>0</v>
      </c>
      <c r="X38" s="152">
        <v>0</v>
      </c>
      <c r="Y38" s="152">
        <v>0</v>
      </c>
      <c r="Z38" s="152">
        <v>0</v>
      </c>
      <c r="AA38" s="152">
        <v>0</v>
      </c>
      <c r="AB38" s="152">
        <v>0</v>
      </c>
      <c r="AC38" s="152">
        <v>0</v>
      </c>
      <c r="AD38" s="152">
        <v>0</v>
      </c>
      <c r="AE38" s="156">
        <v>0</v>
      </c>
      <c r="AF38" s="157">
        <v>0</v>
      </c>
      <c r="AG38" s="152">
        <v>0</v>
      </c>
      <c r="AH38" s="152">
        <v>0</v>
      </c>
      <c r="AI38" s="152">
        <v>0</v>
      </c>
      <c r="AJ38" s="152">
        <v>0</v>
      </c>
      <c r="AK38" s="152">
        <v>0</v>
      </c>
      <c r="AL38" s="152">
        <v>0</v>
      </c>
      <c r="AM38" s="152">
        <v>0</v>
      </c>
      <c r="AN38" s="152">
        <v>0</v>
      </c>
      <c r="AO38" s="156">
        <v>0</v>
      </c>
      <c r="AP38" s="158"/>
      <c r="AQ38" s="160"/>
      <c r="AR38" s="145"/>
      <c r="AS38" s="145"/>
      <c r="AT38" s="145"/>
      <c r="AU38" s="145"/>
      <c r="AV38" s="145"/>
      <c r="AW38" s="161">
        <v>0</v>
      </c>
      <c r="AX38" s="151"/>
    </row>
    <row r="39" spans="1:50" ht="26.1" customHeight="1" x14ac:dyDescent="0.25">
      <c r="A39" s="144" t="s">
        <v>355</v>
      </c>
      <c r="B39" s="59" t="s">
        <v>3</v>
      </c>
      <c r="C39" s="145"/>
      <c r="D39" s="60"/>
      <c r="E39" s="143" t="s">
        <v>34</v>
      </c>
      <c r="F39" s="154" t="s">
        <v>355</v>
      </c>
      <c r="G39" s="155"/>
      <c r="H39" s="156">
        <v>31969367.348881822</v>
      </c>
      <c r="I39" s="157">
        <v>33451475.086455002</v>
      </c>
      <c r="J39" s="152">
        <v>44813721.942598611</v>
      </c>
      <c r="K39" s="152">
        <v>36432793.038685389</v>
      </c>
      <c r="L39" s="152">
        <v>38906536.222340643</v>
      </c>
      <c r="M39" s="152">
        <v>38819150.809618488</v>
      </c>
      <c r="N39" s="152">
        <v>39121608.560206912</v>
      </c>
      <c r="O39" s="152">
        <v>41144548.880147494</v>
      </c>
      <c r="P39" s="152">
        <v>43201776.324154869</v>
      </c>
      <c r="Q39" s="152">
        <v>45361865.14036262</v>
      </c>
      <c r="R39" s="156">
        <v>361253476.00457001</v>
      </c>
      <c r="S39" s="157">
        <f>+R40*S40</f>
        <v>339578267.44429576</v>
      </c>
      <c r="T39" s="152"/>
      <c r="U39" s="152">
        <f>+R40*U40</f>
        <v>21675208.560274199</v>
      </c>
      <c r="V39" s="159"/>
      <c r="W39" s="157">
        <v>49931698.026962988</v>
      </c>
      <c r="X39" s="152">
        <v>63502468.365141161</v>
      </c>
      <c r="Y39" s="152">
        <v>58450147.608166836</v>
      </c>
      <c r="Z39" s="152">
        <v>62529049.497756101</v>
      </c>
      <c r="AA39" s="152">
        <v>64046822.79096777</v>
      </c>
      <c r="AB39" s="152">
        <v>66954802.883853815</v>
      </c>
      <c r="AC39" s="152">
        <v>69582538.273364767</v>
      </c>
      <c r="AD39" s="152">
        <v>72244560.786942497</v>
      </c>
      <c r="AE39" s="156">
        <v>77010171.945447892</v>
      </c>
      <c r="AF39" s="157">
        <v>16480222.940507986</v>
      </c>
      <c r="AG39" s="152">
        <v>18688746.422542546</v>
      </c>
      <c r="AH39" s="152">
        <v>22017354.569481451</v>
      </c>
      <c r="AI39" s="152">
        <v>23622513.275415454</v>
      </c>
      <c r="AJ39" s="152">
        <v>25227671.981349278</v>
      </c>
      <c r="AK39" s="152">
        <v>27833194.323646907</v>
      </c>
      <c r="AL39" s="152">
        <v>28437989.393217273</v>
      </c>
      <c r="AM39" s="152">
        <v>29042784.462787628</v>
      </c>
      <c r="AN39" s="152">
        <v>31648306.805085268</v>
      </c>
      <c r="AO39" s="156">
        <v>222998784.17403382</v>
      </c>
      <c r="AP39" s="158"/>
      <c r="AQ39" s="160">
        <v>454300</v>
      </c>
      <c r="AR39" s="145"/>
      <c r="AS39" s="145"/>
      <c r="AT39" s="145"/>
      <c r="AU39" s="145"/>
      <c r="AV39" s="145"/>
      <c r="AW39" s="161">
        <v>222544484.17403382</v>
      </c>
      <c r="AX39" s="151"/>
    </row>
    <row r="40" spans="1:50" ht="26.1" customHeight="1" x14ac:dyDescent="0.25">
      <c r="A40" s="205" t="s">
        <v>355</v>
      </c>
      <c r="B40" s="47" t="s">
        <v>3</v>
      </c>
      <c r="C40" s="48" t="s">
        <v>410</v>
      </c>
      <c r="D40" s="48" t="s">
        <v>414</v>
      </c>
      <c r="E40" s="204" t="s">
        <v>35</v>
      </c>
      <c r="F40" s="68" t="s">
        <v>312</v>
      </c>
      <c r="G40" s="48" t="s">
        <v>323</v>
      </c>
      <c r="H40" s="305">
        <v>31969367.348881822</v>
      </c>
      <c r="I40" s="212">
        <v>33451475.086455002</v>
      </c>
      <c r="J40" s="170">
        <v>44813721.942598611</v>
      </c>
      <c r="K40" s="170">
        <v>36432793.038685389</v>
      </c>
      <c r="L40" s="170">
        <v>38906536.222340643</v>
      </c>
      <c r="M40" s="170">
        <v>38819150.809618488</v>
      </c>
      <c r="N40" s="170">
        <v>39121608.560206912</v>
      </c>
      <c r="O40" s="170">
        <v>41144548.880147494</v>
      </c>
      <c r="P40" s="170">
        <v>43201776.324154869</v>
      </c>
      <c r="Q40" s="170">
        <v>45361865.14036262</v>
      </c>
      <c r="R40" s="213">
        <v>361253476.00457001</v>
      </c>
      <c r="S40" s="270">
        <v>0.94</v>
      </c>
      <c r="T40" s="215"/>
      <c r="U40" s="215">
        <v>0.06</v>
      </c>
      <c r="V40" s="243" t="s">
        <v>495</v>
      </c>
      <c r="W40" s="212">
        <v>49931698.026962988</v>
      </c>
      <c r="X40" s="170">
        <v>63502468.365141161</v>
      </c>
      <c r="Y40" s="170">
        <v>58450147.608166836</v>
      </c>
      <c r="Z40" s="170">
        <v>62529049.497756101</v>
      </c>
      <c r="AA40" s="170">
        <v>64046822.79096777</v>
      </c>
      <c r="AB40" s="170">
        <v>66954802.883853815</v>
      </c>
      <c r="AC40" s="170">
        <v>69582538.273364767</v>
      </c>
      <c r="AD40" s="170">
        <v>72244560.786942497</v>
      </c>
      <c r="AE40" s="213">
        <v>77010171.945447892</v>
      </c>
      <c r="AF40" s="212">
        <v>16480222.940507986</v>
      </c>
      <c r="AG40" s="170">
        <v>18688746.422542546</v>
      </c>
      <c r="AH40" s="170">
        <v>22017354.569481451</v>
      </c>
      <c r="AI40" s="170">
        <v>23622513.275415454</v>
      </c>
      <c r="AJ40" s="170">
        <v>25227671.981349278</v>
      </c>
      <c r="AK40" s="170">
        <v>27833194.323646907</v>
      </c>
      <c r="AL40" s="170">
        <v>28437989.393217273</v>
      </c>
      <c r="AM40" s="170">
        <v>29042784.462787628</v>
      </c>
      <c r="AN40" s="170">
        <v>31648306.805085268</v>
      </c>
      <c r="AO40" s="213">
        <v>222998784.17403382</v>
      </c>
      <c r="AP40" s="219"/>
      <c r="AQ40" s="220">
        <v>454300</v>
      </c>
      <c r="AR40" s="220" t="s">
        <v>335</v>
      </c>
      <c r="AS40" s="210"/>
      <c r="AT40" s="210"/>
      <c r="AU40" s="210"/>
      <c r="AV40" s="210"/>
      <c r="AW40" s="221">
        <v>222544484.17403382</v>
      </c>
      <c r="AX40" s="222"/>
    </row>
    <row r="41" spans="1:50" ht="26.1" customHeight="1" x14ac:dyDescent="0.25">
      <c r="A41" s="287"/>
      <c r="B41" s="63" t="s">
        <v>4</v>
      </c>
      <c r="C41" s="288"/>
      <c r="D41" s="64"/>
      <c r="E41" s="286" t="s">
        <v>38</v>
      </c>
      <c r="F41" s="288"/>
      <c r="G41" s="296"/>
      <c r="H41" s="297">
        <v>146181.81818181818</v>
      </c>
      <c r="I41" s="298">
        <v>311524.47552447551</v>
      </c>
      <c r="J41" s="294">
        <v>428237.76223776222</v>
      </c>
      <c r="K41" s="294">
        <v>428237.76223776222</v>
      </c>
      <c r="L41" s="294">
        <v>428237.76223776222</v>
      </c>
      <c r="M41" s="294">
        <v>428237.76223776222</v>
      </c>
      <c r="N41" s="294">
        <v>428237.76223776222</v>
      </c>
      <c r="O41" s="294">
        <v>422237.76223776222</v>
      </c>
      <c r="P41" s="294">
        <v>422237.76223776222</v>
      </c>
      <c r="Q41" s="294">
        <v>422237.76223776222</v>
      </c>
      <c r="R41" s="299">
        <v>3719426.5734265726</v>
      </c>
      <c r="S41" s="298">
        <f>+S42+S46+S48+S50</f>
        <v>3240699.3006992997</v>
      </c>
      <c r="T41" s="294"/>
      <c r="U41" s="294">
        <f>+U42+U46+U48+U50</f>
        <v>570363.63636363635</v>
      </c>
      <c r="V41" s="301"/>
      <c r="W41" s="298">
        <v>687517.4825174826</v>
      </c>
      <c r="X41" s="294">
        <v>951402.09790209797</v>
      </c>
      <c r="Y41" s="294">
        <v>958674.82517482515</v>
      </c>
      <c r="Z41" s="294">
        <v>943220.27972027974</v>
      </c>
      <c r="AA41" s="294">
        <v>928674.82517482515</v>
      </c>
      <c r="AB41" s="294">
        <v>928674.82517482515</v>
      </c>
      <c r="AC41" s="294">
        <v>928674.82517482515</v>
      </c>
      <c r="AD41" s="294">
        <v>928674.82517482515</v>
      </c>
      <c r="AE41" s="299">
        <v>928674.82517482515</v>
      </c>
      <c r="AF41" s="298">
        <v>375993.00699300703</v>
      </c>
      <c r="AG41" s="294">
        <v>523164.3356643357</v>
      </c>
      <c r="AH41" s="294">
        <v>530437.06293706293</v>
      </c>
      <c r="AI41" s="294">
        <v>514982.51748251752</v>
      </c>
      <c r="AJ41" s="294">
        <v>500437.06293706299</v>
      </c>
      <c r="AK41" s="294">
        <v>500437.06293706299</v>
      </c>
      <c r="AL41" s="294">
        <v>506437.06293706299</v>
      </c>
      <c r="AM41" s="294">
        <v>506437.06293706299</v>
      </c>
      <c r="AN41" s="294">
        <v>506437.06293706299</v>
      </c>
      <c r="AO41" s="299">
        <v>4464762.2377622379</v>
      </c>
      <c r="AP41" s="300"/>
      <c r="AQ41" s="302">
        <v>99000</v>
      </c>
      <c r="AR41" s="288"/>
      <c r="AS41" s="288"/>
      <c r="AT41" s="288"/>
      <c r="AU41" s="288"/>
      <c r="AV41" s="288"/>
      <c r="AW41" s="303">
        <v>4365762.2377622379</v>
      </c>
      <c r="AX41" s="293"/>
    </row>
    <row r="42" spans="1:50" ht="26.1" customHeight="1" x14ac:dyDescent="0.25">
      <c r="A42" s="144" t="s">
        <v>357</v>
      </c>
      <c r="B42" s="59" t="s">
        <v>4</v>
      </c>
      <c r="C42" s="145"/>
      <c r="D42" s="60"/>
      <c r="E42" s="143" t="s">
        <v>358</v>
      </c>
      <c r="F42" s="154" t="s">
        <v>357</v>
      </c>
      <c r="G42" s="155"/>
      <c r="H42" s="156">
        <v>91636.363636363632</v>
      </c>
      <c r="I42" s="157">
        <v>265342.65734265733</v>
      </c>
      <c r="J42" s="152">
        <v>408237.76223776222</v>
      </c>
      <c r="K42" s="152">
        <v>408237.76223776222</v>
      </c>
      <c r="L42" s="152">
        <v>408237.76223776222</v>
      </c>
      <c r="M42" s="152">
        <v>408237.76223776222</v>
      </c>
      <c r="N42" s="152">
        <v>408237.76223776222</v>
      </c>
      <c r="O42" s="152">
        <v>402237.76223776222</v>
      </c>
      <c r="P42" s="152">
        <v>402237.76223776222</v>
      </c>
      <c r="Q42" s="152">
        <v>402237.76223776222</v>
      </c>
      <c r="R42" s="156">
        <v>3513244.7552447543</v>
      </c>
      <c r="S42" s="157">
        <f>+R43*S43+R44*S44+R45*S45</f>
        <v>3072244.7552447543</v>
      </c>
      <c r="T42" s="145"/>
      <c r="U42" s="161">
        <f>+R43*U43+R44*U44+R45*U45</f>
        <v>532636.36363636365</v>
      </c>
      <c r="V42" s="159"/>
      <c r="W42" s="157">
        <v>650790.20979020989</v>
      </c>
      <c r="X42" s="152">
        <v>920856.64335664338</v>
      </c>
      <c r="Y42" s="152">
        <v>910856.64335664338</v>
      </c>
      <c r="Z42" s="152">
        <v>890856.64335664338</v>
      </c>
      <c r="AA42" s="152">
        <v>890856.64335664338</v>
      </c>
      <c r="AB42" s="152">
        <v>890856.64335664338</v>
      </c>
      <c r="AC42" s="152">
        <v>890856.64335664338</v>
      </c>
      <c r="AD42" s="152">
        <v>890856.64335664338</v>
      </c>
      <c r="AE42" s="156">
        <v>890856.64335664338</v>
      </c>
      <c r="AF42" s="157">
        <v>385447.55244755244</v>
      </c>
      <c r="AG42" s="152">
        <v>512618.88111888117</v>
      </c>
      <c r="AH42" s="152">
        <v>502618.88111888117</v>
      </c>
      <c r="AI42" s="152">
        <v>482618.88111888117</v>
      </c>
      <c r="AJ42" s="152">
        <v>482618.88111888117</v>
      </c>
      <c r="AK42" s="152">
        <v>482618.88111888117</v>
      </c>
      <c r="AL42" s="152">
        <v>488618.88111888117</v>
      </c>
      <c r="AM42" s="152">
        <v>488618.88111888117</v>
      </c>
      <c r="AN42" s="152">
        <v>488618.88111888117</v>
      </c>
      <c r="AO42" s="156">
        <v>4314398.6013986012</v>
      </c>
      <c r="AP42" s="158"/>
      <c r="AQ42" s="160">
        <v>99000</v>
      </c>
      <c r="AR42" s="145"/>
      <c r="AS42" s="145"/>
      <c r="AT42" s="145"/>
      <c r="AU42" s="145"/>
      <c r="AV42" s="145"/>
      <c r="AW42" s="152">
        <v>4215398.6013986012</v>
      </c>
      <c r="AX42" s="151"/>
    </row>
    <row r="43" spans="1:50" ht="26.1" customHeight="1" x14ac:dyDescent="0.25">
      <c r="A43" s="205" t="s">
        <v>357</v>
      </c>
      <c r="B43" s="47" t="s">
        <v>4</v>
      </c>
      <c r="C43" s="48" t="s">
        <v>405</v>
      </c>
      <c r="D43" s="48" t="s">
        <v>397</v>
      </c>
      <c r="E43" s="204" t="s">
        <v>367</v>
      </c>
      <c r="F43" s="257" t="s">
        <v>423</v>
      </c>
      <c r="G43" s="48" t="s">
        <v>323</v>
      </c>
      <c r="H43" s="306">
        <v>91636.363636363632</v>
      </c>
      <c r="I43" s="307">
        <v>45000</v>
      </c>
      <c r="J43" s="252">
        <v>45000</v>
      </c>
      <c r="K43" s="252">
        <v>45000</v>
      </c>
      <c r="L43" s="252">
        <v>45000</v>
      </c>
      <c r="M43" s="252">
        <v>45000</v>
      </c>
      <c r="N43" s="252">
        <v>45000</v>
      </c>
      <c r="O43" s="252">
        <v>45000</v>
      </c>
      <c r="P43" s="252">
        <v>45000</v>
      </c>
      <c r="Q43" s="252">
        <v>45000</v>
      </c>
      <c r="R43" s="213">
        <v>496636.36363636365</v>
      </c>
      <c r="S43" s="214"/>
      <c r="T43" s="48"/>
      <c r="U43" s="308">
        <v>1</v>
      </c>
      <c r="V43" s="216" t="s">
        <v>496</v>
      </c>
      <c r="W43" s="212">
        <v>345000</v>
      </c>
      <c r="X43" s="170">
        <v>345000</v>
      </c>
      <c r="Y43" s="170">
        <v>345000</v>
      </c>
      <c r="Z43" s="170">
        <v>345000</v>
      </c>
      <c r="AA43" s="170">
        <v>345000</v>
      </c>
      <c r="AB43" s="170">
        <v>345000</v>
      </c>
      <c r="AC43" s="170">
        <v>345000</v>
      </c>
      <c r="AD43" s="170">
        <v>345000</v>
      </c>
      <c r="AE43" s="213">
        <v>345000</v>
      </c>
      <c r="AF43" s="217">
        <v>300000</v>
      </c>
      <c r="AG43" s="217">
        <v>300000</v>
      </c>
      <c r="AH43" s="217">
        <v>300000</v>
      </c>
      <c r="AI43" s="217">
        <v>300000</v>
      </c>
      <c r="AJ43" s="217">
        <v>300000</v>
      </c>
      <c r="AK43" s="217">
        <v>300000</v>
      </c>
      <c r="AL43" s="217">
        <v>300000</v>
      </c>
      <c r="AM43" s="217">
        <v>300000</v>
      </c>
      <c r="AN43" s="217">
        <v>300000</v>
      </c>
      <c r="AO43" s="218">
        <v>2700000</v>
      </c>
      <c r="AP43" s="219"/>
      <c r="AQ43" s="220">
        <v>99000</v>
      </c>
      <c r="AR43" s="220" t="s">
        <v>369</v>
      </c>
      <c r="AS43" s="210"/>
      <c r="AT43" s="210"/>
      <c r="AU43" s="210"/>
      <c r="AV43" s="210"/>
      <c r="AW43" s="221">
        <v>2601000</v>
      </c>
      <c r="AX43" s="222"/>
    </row>
    <row r="44" spans="1:50" ht="26.1" customHeight="1" x14ac:dyDescent="0.25">
      <c r="A44" s="164" t="s">
        <v>357</v>
      </c>
      <c r="B44" s="74" t="s">
        <v>4</v>
      </c>
      <c r="C44" s="75" t="s">
        <v>405</v>
      </c>
      <c r="D44" s="75" t="s">
        <v>397</v>
      </c>
      <c r="E44" s="204" t="s">
        <v>472</v>
      </c>
      <c r="F44" s="257" t="s">
        <v>349</v>
      </c>
      <c r="G44" s="48" t="s">
        <v>313</v>
      </c>
      <c r="H44" s="211">
        <v>0</v>
      </c>
      <c r="I44" s="212">
        <v>6000</v>
      </c>
      <c r="J44" s="170">
        <v>6000</v>
      </c>
      <c r="K44" s="170">
        <v>6000</v>
      </c>
      <c r="L44" s="170">
        <v>6000</v>
      </c>
      <c r="M44" s="170">
        <v>6000</v>
      </c>
      <c r="N44" s="170">
        <v>6000</v>
      </c>
      <c r="O44" s="170">
        <v>0</v>
      </c>
      <c r="P44" s="170">
        <v>0</v>
      </c>
      <c r="Q44" s="170">
        <v>0</v>
      </c>
      <c r="R44" s="213">
        <v>36000</v>
      </c>
      <c r="S44" s="214"/>
      <c r="T44" s="48"/>
      <c r="U44" s="215">
        <v>1</v>
      </c>
      <c r="V44" s="216"/>
      <c r="W44" s="212">
        <v>10000</v>
      </c>
      <c r="X44" s="170">
        <v>30000</v>
      </c>
      <c r="Y44" s="170">
        <v>20000</v>
      </c>
      <c r="Z44" s="170">
        <v>0</v>
      </c>
      <c r="AA44" s="170">
        <v>0</v>
      </c>
      <c r="AB44" s="170">
        <v>0</v>
      </c>
      <c r="AC44" s="170">
        <v>0</v>
      </c>
      <c r="AD44" s="170">
        <v>0</v>
      </c>
      <c r="AE44" s="213">
        <v>0</v>
      </c>
      <c r="AF44" s="217">
        <v>4000</v>
      </c>
      <c r="AG44" s="170">
        <v>24000</v>
      </c>
      <c r="AH44" s="170">
        <v>14000</v>
      </c>
      <c r="AI44" s="170">
        <v>-6000</v>
      </c>
      <c r="AJ44" s="170">
        <v>-6000</v>
      </c>
      <c r="AK44" s="170">
        <v>-6000</v>
      </c>
      <c r="AL44" s="170">
        <v>0</v>
      </c>
      <c r="AM44" s="170">
        <v>0</v>
      </c>
      <c r="AN44" s="170">
        <v>0</v>
      </c>
      <c r="AO44" s="218">
        <v>24000</v>
      </c>
      <c r="AP44" s="219"/>
      <c r="AQ44" s="220"/>
      <c r="AR44" s="220"/>
      <c r="AS44" s="210"/>
      <c r="AT44" s="210"/>
      <c r="AU44" s="210"/>
      <c r="AV44" s="210"/>
      <c r="AW44" s="221">
        <v>24000</v>
      </c>
      <c r="AX44" s="222"/>
    </row>
    <row r="45" spans="1:50" ht="26.1" customHeight="1" x14ac:dyDescent="0.25">
      <c r="A45" s="185"/>
      <c r="B45" s="80"/>
      <c r="C45" s="81"/>
      <c r="D45" s="81"/>
      <c r="E45" s="204" t="s">
        <v>473</v>
      </c>
      <c r="F45" s="257" t="s">
        <v>349</v>
      </c>
      <c r="G45" s="48"/>
      <c r="H45" s="211">
        <v>0</v>
      </c>
      <c r="I45" s="212">
        <v>214342.65734265733</v>
      </c>
      <c r="J45" s="217">
        <v>357237.76223776222</v>
      </c>
      <c r="K45" s="217">
        <v>357237.76223776222</v>
      </c>
      <c r="L45" s="217">
        <v>357237.76223776222</v>
      </c>
      <c r="M45" s="217">
        <v>357237.76223776222</v>
      </c>
      <c r="N45" s="217">
        <v>357237.76223776222</v>
      </c>
      <c r="O45" s="217">
        <v>357237.76223776222</v>
      </c>
      <c r="P45" s="217">
        <v>357237.76223776222</v>
      </c>
      <c r="Q45" s="217">
        <v>357237.76223776222</v>
      </c>
      <c r="R45" s="213">
        <v>3072244.7552447543</v>
      </c>
      <c r="S45" s="253">
        <v>1</v>
      </c>
      <c r="T45" s="48"/>
      <c r="U45" s="48"/>
      <c r="V45" s="216"/>
      <c r="W45" s="212">
        <v>295790.20979020977</v>
      </c>
      <c r="X45" s="217">
        <v>545856.64335664338</v>
      </c>
      <c r="Y45" s="217">
        <v>545856.64335664338</v>
      </c>
      <c r="Z45" s="217">
        <v>545856.64335664338</v>
      </c>
      <c r="AA45" s="217">
        <v>545856.64335664338</v>
      </c>
      <c r="AB45" s="217">
        <v>545856.64335664338</v>
      </c>
      <c r="AC45" s="217">
        <v>545856.64335664338</v>
      </c>
      <c r="AD45" s="217">
        <v>545856.64335664338</v>
      </c>
      <c r="AE45" s="213">
        <v>545856.64335664338</v>
      </c>
      <c r="AF45" s="217">
        <v>81447.552447552458</v>
      </c>
      <c r="AG45" s="170">
        <v>188618.88111888117</v>
      </c>
      <c r="AH45" s="170">
        <v>188618.88111888117</v>
      </c>
      <c r="AI45" s="170">
        <v>188618.88111888117</v>
      </c>
      <c r="AJ45" s="170">
        <v>188618.88111888117</v>
      </c>
      <c r="AK45" s="170">
        <v>188618.88111888117</v>
      </c>
      <c r="AL45" s="170">
        <v>188618.88111888117</v>
      </c>
      <c r="AM45" s="170">
        <v>188618.88111888117</v>
      </c>
      <c r="AN45" s="170">
        <v>188618.88111888117</v>
      </c>
      <c r="AO45" s="218">
        <v>1590398.6013986014</v>
      </c>
      <c r="AP45" s="219"/>
      <c r="AQ45" s="220"/>
      <c r="AR45" s="220"/>
      <c r="AS45" s="210"/>
      <c r="AT45" s="210"/>
      <c r="AU45" s="210"/>
      <c r="AV45" s="210"/>
      <c r="AW45" s="221">
        <v>1590398.6013986014</v>
      </c>
      <c r="AX45" s="222"/>
    </row>
    <row r="46" spans="1:50" ht="26.1" customHeight="1" x14ac:dyDescent="0.25">
      <c r="A46" s="144" t="s">
        <v>357</v>
      </c>
      <c r="B46" s="59" t="s">
        <v>44</v>
      </c>
      <c r="C46" s="145"/>
      <c r="D46" s="60"/>
      <c r="E46" s="143" t="s">
        <v>42</v>
      </c>
      <c r="F46" s="154" t="s">
        <v>357</v>
      </c>
      <c r="G46" s="155"/>
      <c r="H46" s="156">
        <v>0</v>
      </c>
      <c r="I46" s="157">
        <v>8000</v>
      </c>
      <c r="J46" s="152">
        <v>0</v>
      </c>
      <c r="K46" s="152">
        <v>0</v>
      </c>
      <c r="L46" s="152">
        <v>0</v>
      </c>
      <c r="M46" s="152">
        <v>0</v>
      </c>
      <c r="N46" s="152">
        <v>0</v>
      </c>
      <c r="O46" s="152">
        <v>0</v>
      </c>
      <c r="P46" s="152">
        <v>0</v>
      </c>
      <c r="Q46" s="152">
        <v>0</v>
      </c>
      <c r="R46" s="156">
        <v>8000</v>
      </c>
      <c r="S46" s="157">
        <f>+R47*S47</f>
        <v>0</v>
      </c>
      <c r="T46" s="152"/>
      <c r="U46" s="152">
        <f>+R47*U47</f>
        <v>8000</v>
      </c>
      <c r="V46" s="159"/>
      <c r="W46" s="157">
        <v>8000</v>
      </c>
      <c r="X46" s="152">
        <v>0</v>
      </c>
      <c r="Y46" s="152">
        <v>0</v>
      </c>
      <c r="Z46" s="152">
        <v>10000</v>
      </c>
      <c r="AA46" s="152">
        <v>0</v>
      </c>
      <c r="AB46" s="152">
        <v>0</v>
      </c>
      <c r="AC46" s="152">
        <v>0</v>
      </c>
      <c r="AD46" s="152">
        <v>0</v>
      </c>
      <c r="AE46" s="156">
        <v>0</v>
      </c>
      <c r="AF46" s="157">
        <v>0</v>
      </c>
      <c r="AG46" s="152">
        <v>0</v>
      </c>
      <c r="AH46" s="152">
        <v>0</v>
      </c>
      <c r="AI46" s="152">
        <v>10000</v>
      </c>
      <c r="AJ46" s="152">
        <v>0</v>
      </c>
      <c r="AK46" s="152">
        <v>0</v>
      </c>
      <c r="AL46" s="152">
        <v>0</v>
      </c>
      <c r="AM46" s="152">
        <v>0</v>
      </c>
      <c r="AN46" s="152">
        <v>0</v>
      </c>
      <c r="AO46" s="156">
        <v>10000</v>
      </c>
      <c r="AP46" s="158"/>
      <c r="AQ46" s="160">
        <v>0</v>
      </c>
      <c r="AR46" s="145"/>
      <c r="AS46" s="145"/>
      <c r="AT46" s="145"/>
      <c r="AU46" s="145"/>
      <c r="AV46" s="145"/>
      <c r="AW46" s="161">
        <v>10000</v>
      </c>
      <c r="AX46" s="151"/>
    </row>
    <row r="47" spans="1:50" ht="26.1" customHeight="1" x14ac:dyDescent="0.25">
      <c r="A47" s="205" t="s">
        <v>357</v>
      </c>
      <c r="B47" s="47" t="s">
        <v>44</v>
      </c>
      <c r="C47" s="255"/>
      <c r="D47" s="48" t="s">
        <v>11</v>
      </c>
      <c r="E47" s="204" t="s">
        <v>448</v>
      </c>
      <c r="F47" s="257" t="s">
        <v>349</v>
      </c>
      <c r="G47" s="48" t="s">
        <v>313</v>
      </c>
      <c r="H47" s="211">
        <v>0</v>
      </c>
      <c r="I47" s="212">
        <v>8000</v>
      </c>
      <c r="J47" s="170">
        <v>0</v>
      </c>
      <c r="K47" s="170">
        <v>0</v>
      </c>
      <c r="L47" s="170">
        <v>0</v>
      </c>
      <c r="M47" s="170">
        <v>0</v>
      </c>
      <c r="N47" s="170">
        <v>0</v>
      </c>
      <c r="O47" s="170">
        <v>0</v>
      </c>
      <c r="P47" s="170">
        <v>0</v>
      </c>
      <c r="Q47" s="170">
        <v>0</v>
      </c>
      <c r="R47" s="213">
        <v>8000</v>
      </c>
      <c r="S47" s="214"/>
      <c r="T47" s="48"/>
      <c r="U47" s="215">
        <v>1</v>
      </c>
      <c r="V47" s="216" t="s">
        <v>388</v>
      </c>
      <c r="W47" s="212">
        <v>8000</v>
      </c>
      <c r="X47" s="170">
        <v>0</v>
      </c>
      <c r="Y47" s="170">
        <v>0</v>
      </c>
      <c r="Z47" s="170">
        <v>10000</v>
      </c>
      <c r="AA47" s="170">
        <v>0</v>
      </c>
      <c r="AB47" s="170">
        <v>0</v>
      </c>
      <c r="AC47" s="170">
        <v>0</v>
      </c>
      <c r="AD47" s="170">
        <v>0</v>
      </c>
      <c r="AE47" s="213">
        <v>0</v>
      </c>
      <c r="AF47" s="217">
        <v>0</v>
      </c>
      <c r="AG47" s="217">
        <v>0</v>
      </c>
      <c r="AH47" s="217">
        <v>0</v>
      </c>
      <c r="AI47" s="217">
        <v>10000</v>
      </c>
      <c r="AJ47" s="217">
        <v>0</v>
      </c>
      <c r="AK47" s="217">
        <v>0</v>
      </c>
      <c r="AL47" s="217">
        <v>0</v>
      </c>
      <c r="AM47" s="217">
        <v>0</v>
      </c>
      <c r="AN47" s="217">
        <v>0</v>
      </c>
      <c r="AO47" s="218">
        <v>10000</v>
      </c>
      <c r="AP47" s="219"/>
      <c r="AQ47" s="220"/>
      <c r="AR47" s="220"/>
      <c r="AS47" s="210"/>
      <c r="AT47" s="210"/>
      <c r="AU47" s="210"/>
      <c r="AV47" s="210"/>
      <c r="AW47" s="221">
        <v>10000</v>
      </c>
      <c r="AX47" s="222"/>
    </row>
    <row r="48" spans="1:50" ht="26.1" customHeight="1" x14ac:dyDescent="0.25">
      <c r="A48" s="144" t="s">
        <v>355</v>
      </c>
      <c r="B48" s="59" t="s">
        <v>4</v>
      </c>
      <c r="C48" s="145"/>
      <c r="D48" s="60"/>
      <c r="E48" s="143" t="s">
        <v>45</v>
      </c>
      <c r="F48" s="154" t="s">
        <v>355</v>
      </c>
      <c r="G48" s="155"/>
      <c r="H48" s="156">
        <v>54545.454545454544</v>
      </c>
      <c r="I48" s="157">
        <v>38181.818181818184</v>
      </c>
      <c r="J48" s="152">
        <v>20000</v>
      </c>
      <c r="K48" s="152">
        <v>20000</v>
      </c>
      <c r="L48" s="152">
        <v>20000</v>
      </c>
      <c r="M48" s="152">
        <v>20000</v>
      </c>
      <c r="N48" s="152">
        <v>20000</v>
      </c>
      <c r="O48" s="152">
        <v>20000</v>
      </c>
      <c r="P48" s="152">
        <v>20000</v>
      </c>
      <c r="Q48" s="152">
        <v>20000</v>
      </c>
      <c r="R48" s="156">
        <v>198181.81818181818</v>
      </c>
      <c r="S48" s="157">
        <f>+R49*S49</f>
        <v>168454.54545454544</v>
      </c>
      <c r="T48" s="152"/>
      <c r="U48" s="152">
        <f>+R49*U49</f>
        <v>29727.272727272724</v>
      </c>
      <c r="V48" s="159"/>
      <c r="W48" s="157">
        <v>25454.545454545456</v>
      </c>
      <c r="X48" s="152">
        <v>27272.727272727272</v>
      </c>
      <c r="Y48" s="152">
        <v>44545.454545454544</v>
      </c>
      <c r="Z48" s="152">
        <v>39090.909090909088</v>
      </c>
      <c r="AA48" s="152">
        <v>34545.454545454544</v>
      </c>
      <c r="AB48" s="152">
        <v>34545.454545454544</v>
      </c>
      <c r="AC48" s="152">
        <v>34545.454545454544</v>
      </c>
      <c r="AD48" s="152">
        <v>34545.454545454544</v>
      </c>
      <c r="AE48" s="156">
        <v>34545.454545454544</v>
      </c>
      <c r="AF48" s="157">
        <v>-12727.272727272728</v>
      </c>
      <c r="AG48" s="152">
        <v>7272.727272727273</v>
      </c>
      <c r="AH48" s="152">
        <v>24545.454545454544</v>
      </c>
      <c r="AI48" s="152">
        <v>19090.909090909092</v>
      </c>
      <c r="AJ48" s="152">
        <v>14545.454545454546</v>
      </c>
      <c r="AK48" s="152">
        <v>14545.454545454546</v>
      </c>
      <c r="AL48" s="152">
        <v>14545.454545454546</v>
      </c>
      <c r="AM48" s="152">
        <v>14545.454545454546</v>
      </c>
      <c r="AN48" s="152">
        <v>14545.454545454546</v>
      </c>
      <c r="AO48" s="156">
        <v>110909.09090909091</v>
      </c>
      <c r="AP48" s="158"/>
      <c r="AQ48" s="160">
        <v>0</v>
      </c>
      <c r="AR48" s="145"/>
      <c r="AS48" s="145"/>
      <c r="AT48" s="145"/>
      <c r="AU48" s="145"/>
      <c r="AV48" s="145"/>
      <c r="AW48" s="161">
        <v>110909.09090909091</v>
      </c>
      <c r="AX48" s="151"/>
    </row>
    <row r="49" spans="1:50" ht="26.1" customHeight="1" x14ac:dyDescent="0.25">
      <c r="A49" s="205" t="s">
        <v>355</v>
      </c>
      <c r="B49" s="47" t="s">
        <v>4</v>
      </c>
      <c r="C49" s="48" t="s">
        <v>404</v>
      </c>
      <c r="D49" s="48" t="s">
        <v>394</v>
      </c>
      <c r="E49" s="204" t="s">
        <v>487</v>
      </c>
      <c r="F49" s="68" t="s">
        <v>312</v>
      </c>
      <c r="G49" s="48" t="s">
        <v>313</v>
      </c>
      <c r="H49" s="269">
        <v>54545.454545454544</v>
      </c>
      <c r="I49" s="212">
        <v>38181.818181818184</v>
      </c>
      <c r="J49" s="170">
        <v>20000</v>
      </c>
      <c r="K49" s="170">
        <v>20000</v>
      </c>
      <c r="L49" s="170">
        <v>20000</v>
      </c>
      <c r="M49" s="170">
        <v>20000</v>
      </c>
      <c r="N49" s="170">
        <v>20000</v>
      </c>
      <c r="O49" s="170">
        <v>20000</v>
      </c>
      <c r="P49" s="170">
        <v>20000</v>
      </c>
      <c r="Q49" s="170">
        <v>20000</v>
      </c>
      <c r="R49" s="213">
        <v>198181.81818181818</v>
      </c>
      <c r="S49" s="270">
        <v>0.85</v>
      </c>
      <c r="T49" s="48"/>
      <c r="U49" s="215">
        <v>0.15</v>
      </c>
      <c r="V49" s="243" t="s">
        <v>388</v>
      </c>
      <c r="W49" s="310">
        <v>25454.545454545456</v>
      </c>
      <c r="X49" s="311">
        <v>27272.727272727272</v>
      </c>
      <c r="Y49" s="311">
        <v>44545.454545454544</v>
      </c>
      <c r="Z49" s="170">
        <v>39090.909090909088</v>
      </c>
      <c r="AA49" s="170">
        <v>34545.454545454544</v>
      </c>
      <c r="AB49" s="170">
        <v>34545.454545454544</v>
      </c>
      <c r="AC49" s="170">
        <v>34545.454545454544</v>
      </c>
      <c r="AD49" s="170">
        <v>34545.454545454544</v>
      </c>
      <c r="AE49" s="213">
        <v>34545.454545454544</v>
      </c>
      <c r="AF49" s="212">
        <v>-12727.272727272728</v>
      </c>
      <c r="AG49" s="170">
        <v>7272.727272727273</v>
      </c>
      <c r="AH49" s="170">
        <v>24545.454545454544</v>
      </c>
      <c r="AI49" s="170">
        <v>19090.909090909092</v>
      </c>
      <c r="AJ49" s="170">
        <v>14545.454545454546</v>
      </c>
      <c r="AK49" s="170">
        <v>14545.454545454546</v>
      </c>
      <c r="AL49" s="170">
        <v>14545.454545454546</v>
      </c>
      <c r="AM49" s="170">
        <v>14545.454545454546</v>
      </c>
      <c r="AN49" s="170">
        <v>14545.454545454546</v>
      </c>
      <c r="AO49" s="213">
        <v>110909.09090909091</v>
      </c>
      <c r="AP49" s="219"/>
      <c r="AQ49" s="220"/>
      <c r="AR49" s="220"/>
      <c r="AS49" s="210"/>
      <c r="AT49" s="210"/>
      <c r="AU49" s="210"/>
      <c r="AV49" s="210"/>
      <c r="AW49" s="221">
        <v>110909.09090909091</v>
      </c>
      <c r="AX49" s="222"/>
    </row>
    <row r="50" spans="1:50" ht="26.1" customHeight="1" x14ac:dyDescent="0.25">
      <c r="A50" s="144" t="s">
        <v>355</v>
      </c>
      <c r="B50" s="59" t="s">
        <v>2</v>
      </c>
      <c r="C50" s="145"/>
      <c r="D50" s="60"/>
      <c r="E50" s="143" t="s">
        <v>46</v>
      </c>
      <c r="F50" s="154" t="s">
        <v>355</v>
      </c>
      <c r="G50" s="155"/>
      <c r="H50" s="156">
        <v>0</v>
      </c>
      <c r="I50" s="157">
        <v>0</v>
      </c>
      <c r="J50" s="152">
        <v>0</v>
      </c>
      <c r="K50" s="152">
        <v>0</v>
      </c>
      <c r="L50" s="152">
        <v>0</v>
      </c>
      <c r="M50" s="152">
        <v>0</v>
      </c>
      <c r="N50" s="152">
        <v>0</v>
      </c>
      <c r="O50" s="152">
        <v>0</v>
      </c>
      <c r="P50" s="152">
        <v>0</v>
      </c>
      <c r="Q50" s="152">
        <v>0</v>
      </c>
      <c r="R50" s="156">
        <v>0</v>
      </c>
      <c r="S50" s="157">
        <f>+R51*S51</f>
        <v>0</v>
      </c>
      <c r="T50" s="152"/>
      <c r="U50" s="152">
        <f>+R51*U51</f>
        <v>0</v>
      </c>
      <c r="V50" s="159"/>
      <c r="W50" s="157">
        <v>3272.7272727272725</v>
      </c>
      <c r="X50" s="152">
        <v>3272.7272727272725</v>
      </c>
      <c r="Y50" s="152">
        <v>3272.7272727272725</v>
      </c>
      <c r="Z50" s="152">
        <v>3272.7272727272725</v>
      </c>
      <c r="AA50" s="152">
        <v>3272.7272727272725</v>
      </c>
      <c r="AB50" s="152">
        <v>3272.7272727272725</v>
      </c>
      <c r="AC50" s="152">
        <v>3272.7272727272725</v>
      </c>
      <c r="AD50" s="152">
        <v>3272.7272727272725</v>
      </c>
      <c r="AE50" s="156">
        <v>3272.7272727272725</v>
      </c>
      <c r="AF50" s="157">
        <v>3272.7272727272725</v>
      </c>
      <c r="AG50" s="152">
        <v>3272.7272727272725</v>
      </c>
      <c r="AH50" s="152">
        <v>3272.7272727272725</v>
      </c>
      <c r="AI50" s="152">
        <v>3272.7272727272725</v>
      </c>
      <c r="AJ50" s="152">
        <v>3272.7272727272725</v>
      </c>
      <c r="AK50" s="152">
        <v>3272.7272727272725</v>
      </c>
      <c r="AL50" s="152">
        <v>3272.7272727272725</v>
      </c>
      <c r="AM50" s="152">
        <v>3272.7272727272725</v>
      </c>
      <c r="AN50" s="152">
        <v>3272.7272727272725</v>
      </c>
      <c r="AO50" s="156">
        <v>29454.545454545456</v>
      </c>
      <c r="AP50" s="158"/>
      <c r="AQ50" s="160">
        <v>0</v>
      </c>
      <c r="AR50" s="145"/>
      <c r="AS50" s="145"/>
      <c r="AT50" s="145"/>
      <c r="AU50" s="145"/>
      <c r="AV50" s="145"/>
      <c r="AW50" s="161">
        <v>29454.545454545456</v>
      </c>
      <c r="AX50" s="151"/>
    </row>
    <row r="51" spans="1:50" ht="26.1" customHeight="1" x14ac:dyDescent="0.25">
      <c r="A51" s="205" t="s">
        <v>355</v>
      </c>
      <c r="B51" s="47" t="s">
        <v>2</v>
      </c>
      <c r="C51" s="77" t="s">
        <v>403</v>
      </c>
      <c r="D51" s="48" t="s">
        <v>393</v>
      </c>
      <c r="E51" s="312" t="s">
        <v>47</v>
      </c>
      <c r="F51" s="68" t="s">
        <v>312</v>
      </c>
      <c r="G51" s="77" t="s">
        <v>323</v>
      </c>
      <c r="H51" s="320">
        <v>0</v>
      </c>
      <c r="I51" s="321">
        <v>0</v>
      </c>
      <c r="J51" s="317">
        <v>0</v>
      </c>
      <c r="K51" s="317">
        <v>0</v>
      </c>
      <c r="L51" s="317">
        <v>0</v>
      </c>
      <c r="M51" s="317">
        <v>0</v>
      </c>
      <c r="N51" s="317">
        <v>0</v>
      </c>
      <c r="O51" s="317">
        <v>0</v>
      </c>
      <c r="P51" s="317">
        <v>0</v>
      </c>
      <c r="Q51" s="317">
        <v>0</v>
      </c>
      <c r="R51" s="213">
        <v>0</v>
      </c>
      <c r="S51" s="322"/>
      <c r="T51" s="77"/>
      <c r="U51" s="77"/>
      <c r="V51" s="323"/>
      <c r="W51" s="321">
        <v>3272.7272727272725</v>
      </c>
      <c r="X51" s="317">
        <v>3272.7272727272725</v>
      </c>
      <c r="Y51" s="317">
        <v>3272.7272727272725</v>
      </c>
      <c r="Z51" s="317">
        <v>3272.7272727272725</v>
      </c>
      <c r="AA51" s="317">
        <v>3272.7272727272725</v>
      </c>
      <c r="AB51" s="317">
        <v>3272.7272727272725</v>
      </c>
      <c r="AC51" s="317">
        <v>3272.7272727272725</v>
      </c>
      <c r="AD51" s="317">
        <v>3272.7272727272725</v>
      </c>
      <c r="AE51" s="324">
        <v>3272.7272727272725</v>
      </c>
      <c r="AF51" s="217">
        <v>3272.7272727272725</v>
      </c>
      <c r="AG51" s="170">
        <v>3272.7272727272725</v>
      </c>
      <c r="AH51" s="170">
        <v>3272.7272727272725</v>
      </c>
      <c r="AI51" s="170">
        <v>3272.7272727272725</v>
      </c>
      <c r="AJ51" s="170">
        <v>3272.7272727272725</v>
      </c>
      <c r="AK51" s="170">
        <v>3272.7272727272725</v>
      </c>
      <c r="AL51" s="170">
        <v>3272.7272727272725</v>
      </c>
      <c r="AM51" s="170">
        <v>3272.7272727272725</v>
      </c>
      <c r="AN51" s="170">
        <v>3272.7272727272725</v>
      </c>
      <c r="AO51" s="218">
        <v>29454.545454545456</v>
      </c>
      <c r="AP51" s="325"/>
      <c r="AQ51" s="326"/>
      <c r="AR51" s="326"/>
      <c r="AS51" s="315"/>
      <c r="AT51" s="315"/>
      <c r="AU51" s="315"/>
      <c r="AV51" s="315"/>
      <c r="AW51" s="221">
        <v>29454.545454545456</v>
      </c>
      <c r="AX51" s="327"/>
    </row>
    <row r="52" spans="1:50" ht="26.1" customHeight="1" x14ac:dyDescent="0.25">
      <c r="A52" s="287" t="s">
        <v>355</v>
      </c>
      <c r="B52" s="63" t="s">
        <v>490</v>
      </c>
      <c r="C52" s="288"/>
      <c r="D52" s="64"/>
      <c r="E52" s="286" t="s">
        <v>48</v>
      </c>
      <c r="F52" s="288"/>
      <c r="G52" s="296"/>
      <c r="H52" s="299">
        <v>0</v>
      </c>
      <c r="I52" s="298">
        <v>0</v>
      </c>
      <c r="J52" s="294">
        <v>181.81818181818181</v>
      </c>
      <c r="K52" s="294">
        <v>454.54545454545456</v>
      </c>
      <c r="L52" s="294">
        <v>454.54545454545456</v>
      </c>
      <c r="M52" s="294">
        <v>454.54545454545456</v>
      </c>
      <c r="N52" s="294">
        <v>454.54545454545456</v>
      </c>
      <c r="O52" s="294">
        <v>454.54545454545456</v>
      </c>
      <c r="P52" s="294">
        <v>454.54545454545456</v>
      </c>
      <c r="Q52" s="294">
        <v>454.54545454545456</v>
      </c>
      <c r="R52" s="299">
        <v>3363.6363636363635</v>
      </c>
      <c r="S52" s="298">
        <f>+R53*S53</f>
        <v>3363.6363636363635</v>
      </c>
      <c r="T52" s="294"/>
      <c r="U52" s="294">
        <f>+R53*U53</f>
        <v>0</v>
      </c>
      <c r="V52" s="301"/>
      <c r="W52" s="298">
        <v>18181.81818181818</v>
      </c>
      <c r="X52" s="294">
        <v>23636.363636363636</v>
      </c>
      <c r="Y52" s="294">
        <v>21818.18181818182</v>
      </c>
      <c r="Z52" s="294">
        <v>0</v>
      </c>
      <c r="AA52" s="294">
        <v>21818.18181818182</v>
      </c>
      <c r="AB52" s="294">
        <v>0</v>
      </c>
      <c r="AC52" s="294">
        <v>21818.18181818182</v>
      </c>
      <c r="AD52" s="294">
        <v>0</v>
      </c>
      <c r="AE52" s="299">
        <v>21818.18181818182</v>
      </c>
      <c r="AF52" s="298">
        <v>18181.81818181818</v>
      </c>
      <c r="AG52" s="294">
        <v>23454.545454545456</v>
      </c>
      <c r="AH52" s="294">
        <v>21363.636363636364</v>
      </c>
      <c r="AI52" s="294">
        <v>-454.54545454545456</v>
      </c>
      <c r="AJ52" s="294">
        <v>21363.636363636364</v>
      </c>
      <c r="AK52" s="294">
        <v>-454.54545454545456</v>
      </c>
      <c r="AL52" s="294">
        <v>21363.636363636364</v>
      </c>
      <c r="AM52" s="294">
        <v>-454.54545454545456</v>
      </c>
      <c r="AN52" s="294">
        <v>21363.636363636364</v>
      </c>
      <c r="AO52" s="299">
        <v>125727.27272727272</v>
      </c>
      <c r="AP52" s="300"/>
      <c r="AQ52" s="302">
        <v>0</v>
      </c>
      <c r="AR52" s="288"/>
      <c r="AS52" s="288"/>
      <c r="AT52" s="288"/>
      <c r="AU52" s="288"/>
      <c r="AV52" s="288"/>
      <c r="AW52" s="303">
        <v>125727.27272727272</v>
      </c>
      <c r="AX52" s="293"/>
    </row>
    <row r="53" spans="1:50" ht="26.1" customHeight="1" x14ac:dyDescent="0.25">
      <c r="A53" s="205" t="s">
        <v>355</v>
      </c>
      <c r="B53" s="47" t="s">
        <v>490</v>
      </c>
      <c r="C53" s="255"/>
      <c r="D53" s="48" t="s">
        <v>399</v>
      </c>
      <c r="E53" s="204" t="s">
        <v>49</v>
      </c>
      <c r="F53" s="257" t="s">
        <v>349</v>
      </c>
      <c r="G53" s="48" t="s">
        <v>313</v>
      </c>
      <c r="H53" s="211">
        <v>0</v>
      </c>
      <c r="I53" s="212">
        <v>0</v>
      </c>
      <c r="J53" s="170">
        <v>181.81818181818181</v>
      </c>
      <c r="K53" s="170">
        <v>454.54545454545456</v>
      </c>
      <c r="L53" s="170">
        <v>454.54545454545456</v>
      </c>
      <c r="M53" s="170">
        <v>454.54545454545456</v>
      </c>
      <c r="N53" s="170">
        <v>454.54545454545456</v>
      </c>
      <c r="O53" s="170">
        <v>454.54545454545456</v>
      </c>
      <c r="P53" s="170">
        <v>454.54545454545456</v>
      </c>
      <c r="Q53" s="170">
        <v>454.54545454545456</v>
      </c>
      <c r="R53" s="213">
        <v>3363.6363636363635</v>
      </c>
      <c r="S53" s="285">
        <v>1</v>
      </c>
      <c r="T53" s="48"/>
      <c r="U53" s="48"/>
      <c r="V53" s="216"/>
      <c r="W53" s="212">
        <v>18181.81818181818</v>
      </c>
      <c r="X53" s="170">
        <v>23636.363636363636</v>
      </c>
      <c r="Y53" s="170">
        <v>21818.18181818182</v>
      </c>
      <c r="Z53" s="170">
        <v>0</v>
      </c>
      <c r="AA53" s="170">
        <v>21818.18181818182</v>
      </c>
      <c r="AB53" s="170">
        <v>0</v>
      </c>
      <c r="AC53" s="170">
        <v>21818.18181818182</v>
      </c>
      <c r="AD53" s="170">
        <v>0</v>
      </c>
      <c r="AE53" s="213">
        <v>21818.18181818182</v>
      </c>
      <c r="AF53" s="217">
        <v>18181.81818181818</v>
      </c>
      <c r="AG53" s="217">
        <v>23454.545454545456</v>
      </c>
      <c r="AH53" s="217">
        <v>21363.636363636364</v>
      </c>
      <c r="AI53" s="217">
        <v>-454.54545454545456</v>
      </c>
      <c r="AJ53" s="217">
        <v>21363.636363636364</v>
      </c>
      <c r="AK53" s="217">
        <v>-454.54545454545456</v>
      </c>
      <c r="AL53" s="217">
        <v>21363.636363636364</v>
      </c>
      <c r="AM53" s="217">
        <v>-454.54545454545456</v>
      </c>
      <c r="AN53" s="217">
        <v>21363.636363636364</v>
      </c>
      <c r="AO53" s="218">
        <v>125727.27272727272</v>
      </c>
      <c r="AP53" s="219"/>
      <c r="AQ53" s="220"/>
      <c r="AR53" s="220"/>
      <c r="AS53" s="210"/>
      <c r="AT53" s="210"/>
      <c r="AU53" s="210"/>
      <c r="AV53" s="210"/>
      <c r="AW53" s="221">
        <v>125727.27272727272</v>
      </c>
      <c r="AX53" s="222"/>
    </row>
    <row r="54" spans="1:50" ht="26.1" customHeight="1" x14ac:dyDescent="0.25">
      <c r="A54" s="124"/>
      <c r="B54" s="55"/>
      <c r="C54" s="126"/>
      <c r="D54" s="56"/>
      <c r="E54" s="123" t="s">
        <v>51</v>
      </c>
      <c r="F54" s="126"/>
      <c r="G54" s="134"/>
      <c r="H54" s="135">
        <v>0</v>
      </c>
      <c r="I54" s="136">
        <v>1673658.3790309511</v>
      </c>
      <c r="J54" s="133">
        <v>1686022.0153945875</v>
      </c>
      <c r="K54" s="133">
        <v>1679840.1972127694</v>
      </c>
      <c r="L54" s="133">
        <v>1073173.5305461027</v>
      </c>
      <c r="M54" s="133">
        <v>1066991.7123642846</v>
      </c>
      <c r="N54" s="133">
        <v>1066991.7123642846</v>
      </c>
      <c r="O54" s="133">
        <v>1066991.7123642846</v>
      </c>
      <c r="P54" s="133">
        <v>1066991.7123642846</v>
      </c>
      <c r="Q54" s="133">
        <v>1066991.7123642846</v>
      </c>
      <c r="R54" s="137">
        <v>11447652.684005836</v>
      </c>
      <c r="S54" s="136">
        <f>+S55+S59</f>
        <v>8929625.9068536423</v>
      </c>
      <c r="T54" s="133"/>
      <c r="U54" s="133">
        <f>+U55+U59</f>
        <v>2518026.77715219</v>
      </c>
      <c r="V54" s="139"/>
      <c r="W54" s="136">
        <v>2567604.6368497815</v>
      </c>
      <c r="X54" s="133">
        <v>2598695.5459406907</v>
      </c>
      <c r="Y54" s="133">
        <v>2573968.2732134177</v>
      </c>
      <c r="Z54" s="133">
        <v>2633968.2732134163</v>
      </c>
      <c r="AA54" s="133">
        <v>2621604.6368497801</v>
      </c>
      <c r="AB54" s="133">
        <v>2621604.6368497801</v>
      </c>
      <c r="AC54" s="133">
        <v>2621604.6368497801</v>
      </c>
      <c r="AD54" s="133">
        <v>2621604.6368497801</v>
      </c>
      <c r="AE54" s="137">
        <v>2621604.6368497801</v>
      </c>
      <c r="AF54" s="136">
        <v>893946.25781882997</v>
      </c>
      <c r="AG54" s="133">
        <v>912673.53054610279</v>
      </c>
      <c r="AH54" s="133">
        <v>894128.0760006482</v>
      </c>
      <c r="AI54" s="133">
        <v>1560794.7426673137</v>
      </c>
      <c r="AJ54" s="133">
        <v>1554612.9244854955</v>
      </c>
      <c r="AK54" s="133">
        <v>1554612.9244854955</v>
      </c>
      <c r="AL54" s="133">
        <v>1554612.9244854955</v>
      </c>
      <c r="AM54" s="133">
        <v>1554612.9244854955</v>
      </c>
      <c r="AN54" s="133">
        <v>1554612.9244854955</v>
      </c>
      <c r="AO54" s="137">
        <v>12034607.229460374</v>
      </c>
      <c r="AP54" s="138"/>
      <c r="AQ54" s="140">
        <v>6000</v>
      </c>
      <c r="AR54" s="126"/>
      <c r="AS54" s="126"/>
      <c r="AT54" s="126"/>
      <c r="AU54" s="126"/>
      <c r="AV54" s="126"/>
      <c r="AW54" s="141">
        <v>12028607.229460372</v>
      </c>
      <c r="AX54" s="132"/>
    </row>
    <row r="55" spans="1:50" ht="26.1" customHeight="1" x14ac:dyDescent="0.25">
      <c r="A55" s="287" t="s">
        <v>355</v>
      </c>
      <c r="B55" s="63" t="s">
        <v>656</v>
      </c>
      <c r="C55" s="288"/>
      <c r="D55" s="64"/>
      <c r="E55" s="286" t="s">
        <v>52</v>
      </c>
      <c r="F55" s="288"/>
      <c r="G55" s="296"/>
      <c r="H55" s="297">
        <v>0</v>
      </c>
      <c r="I55" s="298">
        <v>887946.25781882997</v>
      </c>
      <c r="J55" s="294">
        <v>887946.25781882997</v>
      </c>
      <c r="K55" s="294">
        <v>887946.25781882997</v>
      </c>
      <c r="L55" s="294">
        <v>887946.25781882997</v>
      </c>
      <c r="M55" s="294">
        <v>887946.25781882997</v>
      </c>
      <c r="N55" s="294">
        <v>887946.25781882997</v>
      </c>
      <c r="O55" s="294">
        <v>887946.25781882997</v>
      </c>
      <c r="P55" s="294">
        <v>887946.25781882997</v>
      </c>
      <c r="Q55" s="294">
        <v>887946.25781882997</v>
      </c>
      <c r="R55" s="299">
        <v>7991516.320369469</v>
      </c>
      <c r="S55" s="298">
        <f>+S56+S57</f>
        <v>7591940.5043509956</v>
      </c>
      <c r="T55" s="294"/>
      <c r="U55" s="294">
        <f>+U56+U57</f>
        <v>399575.81601847347</v>
      </c>
      <c r="V55" s="301"/>
      <c r="W55" s="298">
        <v>1775892.5156376599</v>
      </c>
      <c r="X55" s="294">
        <v>1775892.5156376599</v>
      </c>
      <c r="Y55" s="294">
        <v>1775892.5156376599</v>
      </c>
      <c r="Z55" s="294">
        <v>1775892.5156376599</v>
      </c>
      <c r="AA55" s="294">
        <v>1775892.5156376599</v>
      </c>
      <c r="AB55" s="294">
        <v>1775892.5156376599</v>
      </c>
      <c r="AC55" s="294">
        <v>1775892.5156376599</v>
      </c>
      <c r="AD55" s="294">
        <v>1775892.5156376599</v>
      </c>
      <c r="AE55" s="299">
        <v>1775892.5156376599</v>
      </c>
      <c r="AF55" s="298">
        <v>887946.25781882997</v>
      </c>
      <c r="AG55" s="294">
        <v>887946.25781882997</v>
      </c>
      <c r="AH55" s="294">
        <v>887946.25781882997</v>
      </c>
      <c r="AI55" s="294">
        <v>887946.25781882997</v>
      </c>
      <c r="AJ55" s="294">
        <v>887946.25781882997</v>
      </c>
      <c r="AK55" s="294">
        <v>887946.25781882997</v>
      </c>
      <c r="AL55" s="294">
        <v>887946.25781882997</v>
      </c>
      <c r="AM55" s="294">
        <v>887946.25781882997</v>
      </c>
      <c r="AN55" s="294">
        <v>887946.25781882997</v>
      </c>
      <c r="AO55" s="299">
        <v>7991516.320369469</v>
      </c>
      <c r="AP55" s="300"/>
      <c r="AQ55" s="302">
        <v>0</v>
      </c>
      <c r="AR55" s="288"/>
      <c r="AS55" s="288"/>
      <c r="AT55" s="288"/>
      <c r="AU55" s="288"/>
      <c r="AV55" s="288"/>
      <c r="AW55" s="303">
        <v>7991516.320369469</v>
      </c>
      <c r="AX55" s="293"/>
    </row>
    <row r="56" spans="1:50" ht="27.75" customHeight="1" x14ac:dyDescent="0.25">
      <c r="A56" s="144" t="s">
        <v>355</v>
      </c>
      <c r="B56" s="59" t="s">
        <v>1</v>
      </c>
      <c r="C56" s="145"/>
      <c r="D56" s="60"/>
      <c r="E56" s="143" t="s">
        <v>53</v>
      </c>
      <c r="F56" s="154" t="s">
        <v>355</v>
      </c>
      <c r="G56" s="155"/>
      <c r="H56" s="159">
        <v>0</v>
      </c>
      <c r="I56" s="157">
        <v>0</v>
      </c>
      <c r="J56" s="152">
        <v>0</v>
      </c>
      <c r="K56" s="152">
        <v>0</v>
      </c>
      <c r="L56" s="152">
        <v>0</v>
      </c>
      <c r="M56" s="152">
        <v>0</v>
      </c>
      <c r="N56" s="152">
        <v>0</v>
      </c>
      <c r="O56" s="152">
        <v>0</v>
      </c>
      <c r="P56" s="152">
        <v>0</v>
      </c>
      <c r="Q56" s="152">
        <v>0</v>
      </c>
      <c r="R56" s="156">
        <v>0</v>
      </c>
      <c r="S56" s="158"/>
      <c r="T56" s="145"/>
      <c r="U56" s="145"/>
      <c r="V56" s="159"/>
      <c r="W56" s="157">
        <v>0</v>
      </c>
      <c r="X56" s="152">
        <v>0</v>
      </c>
      <c r="Y56" s="152">
        <v>0</v>
      </c>
      <c r="Z56" s="152">
        <v>0</v>
      </c>
      <c r="AA56" s="152">
        <v>0</v>
      </c>
      <c r="AB56" s="152">
        <v>0</v>
      </c>
      <c r="AC56" s="152">
        <v>0</v>
      </c>
      <c r="AD56" s="152">
        <v>0</v>
      </c>
      <c r="AE56" s="156">
        <v>0</v>
      </c>
      <c r="AF56" s="157">
        <v>0</v>
      </c>
      <c r="AG56" s="152">
        <v>0</v>
      </c>
      <c r="AH56" s="152">
        <v>0</v>
      </c>
      <c r="AI56" s="152">
        <v>0</v>
      </c>
      <c r="AJ56" s="152">
        <v>0</v>
      </c>
      <c r="AK56" s="152">
        <v>0</v>
      </c>
      <c r="AL56" s="152">
        <v>0</v>
      </c>
      <c r="AM56" s="152">
        <v>0</v>
      </c>
      <c r="AN56" s="152">
        <v>0</v>
      </c>
      <c r="AO56" s="156">
        <v>0</v>
      </c>
      <c r="AP56" s="158"/>
      <c r="AQ56" s="145"/>
      <c r="AR56" s="145"/>
      <c r="AS56" s="145"/>
      <c r="AT56" s="145"/>
      <c r="AU56" s="145"/>
      <c r="AV56" s="145"/>
      <c r="AW56" s="145">
        <v>0</v>
      </c>
      <c r="AX56" s="151"/>
    </row>
    <row r="57" spans="1:50" ht="26.1" customHeight="1" x14ac:dyDescent="0.25">
      <c r="A57" s="144" t="s">
        <v>355</v>
      </c>
      <c r="B57" s="59" t="s">
        <v>3</v>
      </c>
      <c r="C57" s="145"/>
      <c r="D57" s="60"/>
      <c r="E57" s="143" t="s">
        <v>58</v>
      </c>
      <c r="F57" s="154" t="s">
        <v>355</v>
      </c>
      <c r="G57" s="155"/>
      <c r="H57" s="156">
        <v>0</v>
      </c>
      <c r="I57" s="157">
        <v>887946.25781882997</v>
      </c>
      <c r="J57" s="152">
        <v>887946.25781882997</v>
      </c>
      <c r="K57" s="152">
        <v>887946.25781882997</v>
      </c>
      <c r="L57" s="152">
        <v>887946.25781882997</v>
      </c>
      <c r="M57" s="152">
        <v>887946.25781882997</v>
      </c>
      <c r="N57" s="152">
        <v>887946.25781882997</v>
      </c>
      <c r="O57" s="152">
        <v>887946.25781882997</v>
      </c>
      <c r="P57" s="152">
        <v>887946.25781882997</v>
      </c>
      <c r="Q57" s="152">
        <v>887946.25781882997</v>
      </c>
      <c r="R57" s="156">
        <v>7991516.320369469</v>
      </c>
      <c r="S57" s="157">
        <f>+R58*S58</f>
        <v>7591940.5043509956</v>
      </c>
      <c r="T57" s="152"/>
      <c r="U57" s="152">
        <f>+R58*U58</f>
        <v>399575.81601847347</v>
      </c>
      <c r="V57" s="159"/>
      <c r="W57" s="157">
        <v>1775892.5156376599</v>
      </c>
      <c r="X57" s="152">
        <v>1775892.5156376599</v>
      </c>
      <c r="Y57" s="152">
        <v>1775892.5156376599</v>
      </c>
      <c r="Z57" s="152">
        <v>1775892.5156376599</v>
      </c>
      <c r="AA57" s="152">
        <v>1775892.5156376599</v>
      </c>
      <c r="AB57" s="152">
        <v>1775892.5156376599</v>
      </c>
      <c r="AC57" s="152">
        <v>1775892.5156376599</v>
      </c>
      <c r="AD57" s="152">
        <v>1775892.5156376599</v>
      </c>
      <c r="AE57" s="156">
        <v>1775892.5156376599</v>
      </c>
      <c r="AF57" s="157">
        <v>887946.25781882997</v>
      </c>
      <c r="AG57" s="152">
        <v>887946.25781882997</v>
      </c>
      <c r="AH57" s="152">
        <v>887946.25781882997</v>
      </c>
      <c r="AI57" s="152">
        <v>887946.25781882997</v>
      </c>
      <c r="AJ57" s="152">
        <v>887946.25781882997</v>
      </c>
      <c r="AK57" s="152">
        <v>887946.25781882997</v>
      </c>
      <c r="AL57" s="152">
        <v>887946.25781882997</v>
      </c>
      <c r="AM57" s="152">
        <v>887946.25781882997</v>
      </c>
      <c r="AN57" s="152">
        <v>887946.25781882997</v>
      </c>
      <c r="AO57" s="156">
        <v>7991516.320369469</v>
      </c>
      <c r="AP57" s="158"/>
      <c r="AQ57" s="160">
        <v>0</v>
      </c>
      <c r="AR57" s="145"/>
      <c r="AS57" s="145"/>
      <c r="AT57" s="145"/>
      <c r="AU57" s="145"/>
      <c r="AV57" s="145"/>
      <c r="AW57" s="161">
        <v>7991516.320369469</v>
      </c>
      <c r="AX57" s="151"/>
    </row>
    <row r="58" spans="1:50" ht="26.1" customHeight="1" x14ac:dyDescent="0.25">
      <c r="A58" s="205" t="s">
        <v>355</v>
      </c>
      <c r="B58" s="47" t="s">
        <v>3</v>
      </c>
      <c r="C58" s="48" t="s">
        <v>655</v>
      </c>
      <c r="D58" s="48" t="s">
        <v>396</v>
      </c>
      <c r="E58" s="204" t="s">
        <v>59</v>
      </c>
      <c r="F58" s="257" t="s">
        <v>312</v>
      </c>
      <c r="G58" s="48"/>
      <c r="H58" s="211">
        <v>0</v>
      </c>
      <c r="I58" s="212">
        <v>887946.25781882997</v>
      </c>
      <c r="J58" s="217">
        <v>887946.25781882997</v>
      </c>
      <c r="K58" s="217">
        <v>887946.25781882997</v>
      </c>
      <c r="L58" s="217">
        <v>887946.25781882997</v>
      </c>
      <c r="M58" s="217">
        <v>887946.25781882997</v>
      </c>
      <c r="N58" s="217">
        <v>887946.25781882997</v>
      </c>
      <c r="O58" s="217">
        <v>887946.25781882997</v>
      </c>
      <c r="P58" s="217">
        <v>887946.25781882997</v>
      </c>
      <c r="Q58" s="217">
        <v>887946.25781882997</v>
      </c>
      <c r="R58" s="213">
        <v>7991516.320369469</v>
      </c>
      <c r="S58" s="253">
        <v>0.95</v>
      </c>
      <c r="T58" s="48"/>
      <c r="U58" s="215">
        <v>0.05</v>
      </c>
      <c r="V58" s="216"/>
      <c r="W58" s="212">
        <v>1775892.5156376599</v>
      </c>
      <c r="X58" s="217">
        <v>1775892.5156376599</v>
      </c>
      <c r="Y58" s="217">
        <v>1775892.5156376599</v>
      </c>
      <c r="Z58" s="217">
        <v>1775892.5156376599</v>
      </c>
      <c r="AA58" s="217">
        <v>1775892.5156376599</v>
      </c>
      <c r="AB58" s="217">
        <v>1775892.5156376599</v>
      </c>
      <c r="AC58" s="217">
        <v>1775892.5156376599</v>
      </c>
      <c r="AD58" s="217">
        <v>1775892.5156376599</v>
      </c>
      <c r="AE58" s="213">
        <v>1775892.5156376599</v>
      </c>
      <c r="AF58" s="217">
        <v>887946.25781882997</v>
      </c>
      <c r="AG58" s="217">
        <v>887946.25781882997</v>
      </c>
      <c r="AH58" s="217">
        <v>887946.25781882997</v>
      </c>
      <c r="AI58" s="217">
        <v>887946.25781882997</v>
      </c>
      <c r="AJ58" s="217">
        <v>887946.25781882997</v>
      </c>
      <c r="AK58" s="217">
        <v>887946.25781882997</v>
      </c>
      <c r="AL58" s="217">
        <v>887946.25781882997</v>
      </c>
      <c r="AM58" s="217">
        <v>887946.25781882997</v>
      </c>
      <c r="AN58" s="217">
        <v>887946.25781882997</v>
      </c>
      <c r="AO58" s="218">
        <v>7991516.320369469</v>
      </c>
      <c r="AP58" s="219"/>
      <c r="AQ58" s="220"/>
      <c r="AR58" s="220"/>
      <c r="AS58" s="210"/>
      <c r="AT58" s="210"/>
      <c r="AU58" s="210"/>
      <c r="AV58" s="210"/>
      <c r="AW58" s="221">
        <v>7991516.320369469</v>
      </c>
      <c r="AX58" s="222"/>
    </row>
    <row r="59" spans="1:50" ht="26.1" customHeight="1" x14ac:dyDescent="0.25">
      <c r="A59" s="287"/>
      <c r="B59" s="63" t="s">
        <v>490</v>
      </c>
      <c r="C59" s="288"/>
      <c r="D59" s="64"/>
      <c r="E59" s="286" t="s">
        <v>248</v>
      </c>
      <c r="F59" s="288"/>
      <c r="G59" s="296"/>
      <c r="H59" s="297">
        <v>0</v>
      </c>
      <c r="I59" s="298">
        <v>785712.1212121211</v>
      </c>
      <c r="J59" s="294">
        <v>798075.75757575745</v>
      </c>
      <c r="K59" s="294">
        <v>791893.93939393933</v>
      </c>
      <c r="L59" s="294">
        <v>185227.27272727274</v>
      </c>
      <c r="M59" s="294">
        <v>179045.45454545456</v>
      </c>
      <c r="N59" s="294">
        <v>179045.45454545456</v>
      </c>
      <c r="O59" s="294">
        <v>179045.45454545456</v>
      </c>
      <c r="P59" s="294">
        <v>179045.45454545456</v>
      </c>
      <c r="Q59" s="294">
        <v>179045.45454545456</v>
      </c>
      <c r="R59" s="299">
        <v>3456136.3636363638</v>
      </c>
      <c r="S59" s="298">
        <f>+S60+S63</f>
        <v>1337685.4025026467</v>
      </c>
      <c r="T59" s="294"/>
      <c r="U59" s="294">
        <f>+U60+U63</f>
        <v>2118450.9611337166</v>
      </c>
      <c r="V59" s="301"/>
      <c r="W59" s="298">
        <v>791712.1212121211</v>
      </c>
      <c r="X59" s="294">
        <v>822803.03030303027</v>
      </c>
      <c r="Y59" s="294">
        <v>798075.75757575745</v>
      </c>
      <c r="Z59" s="294">
        <v>858075.7575757564</v>
      </c>
      <c r="AA59" s="294">
        <v>845712.12121212005</v>
      </c>
      <c r="AB59" s="294">
        <v>845712.12121212005</v>
      </c>
      <c r="AC59" s="294">
        <v>845712.12121212005</v>
      </c>
      <c r="AD59" s="294">
        <v>845712.12121212005</v>
      </c>
      <c r="AE59" s="299">
        <v>845712.12121212005</v>
      </c>
      <c r="AF59" s="298">
        <v>6000</v>
      </c>
      <c r="AG59" s="294">
        <v>24727.272727272728</v>
      </c>
      <c r="AH59" s="294">
        <v>6181.818181818182</v>
      </c>
      <c r="AI59" s="294">
        <v>672848.4848484837</v>
      </c>
      <c r="AJ59" s="294">
        <v>666666.66666666546</v>
      </c>
      <c r="AK59" s="294">
        <v>666666.66666666546</v>
      </c>
      <c r="AL59" s="294">
        <v>666666.66666666546</v>
      </c>
      <c r="AM59" s="294">
        <v>666666.66666666546</v>
      </c>
      <c r="AN59" s="294">
        <v>666666.66666666546</v>
      </c>
      <c r="AO59" s="299">
        <v>4043090.9090909022</v>
      </c>
      <c r="AP59" s="300"/>
      <c r="AQ59" s="302">
        <v>6000</v>
      </c>
      <c r="AR59" s="288"/>
      <c r="AS59" s="288"/>
      <c r="AT59" s="288"/>
      <c r="AU59" s="288"/>
      <c r="AV59" s="288"/>
      <c r="AW59" s="303">
        <v>4037090.9090909022</v>
      </c>
      <c r="AX59" s="293"/>
    </row>
    <row r="60" spans="1:50" ht="26.1" customHeight="1" x14ac:dyDescent="0.25">
      <c r="A60" s="144" t="s">
        <v>357</v>
      </c>
      <c r="B60" s="59" t="s">
        <v>490</v>
      </c>
      <c r="C60" s="145"/>
      <c r="D60" s="60"/>
      <c r="E60" s="143" t="s">
        <v>54</v>
      </c>
      <c r="F60" s="154" t="s">
        <v>357</v>
      </c>
      <c r="G60" s="155"/>
      <c r="H60" s="156">
        <v>0</v>
      </c>
      <c r="I60" s="157">
        <v>785712.1212121211</v>
      </c>
      <c r="J60" s="152">
        <v>785712.1212121211</v>
      </c>
      <c r="K60" s="152">
        <v>785712.1212121211</v>
      </c>
      <c r="L60" s="152">
        <v>179045.45454545456</v>
      </c>
      <c r="M60" s="152">
        <v>179045.45454545456</v>
      </c>
      <c r="N60" s="152">
        <v>179045.45454545456</v>
      </c>
      <c r="O60" s="152">
        <v>179045.45454545456</v>
      </c>
      <c r="P60" s="152">
        <v>179045.45454545456</v>
      </c>
      <c r="Q60" s="152">
        <v>179045.45454545456</v>
      </c>
      <c r="R60" s="156">
        <v>3431409.0909090908</v>
      </c>
      <c r="S60" s="157">
        <f>+R61*S61+R62*S62</f>
        <v>1312958.129775374</v>
      </c>
      <c r="T60" s="152"/>
      <c r="U60" s="152">
        <f>+R61*U61+R62*U62</f>
        <v>2118450.9611337166</v>
      </c>
      <c r="V60" s="159"/>
      <c r="W60" s="157">
        <v>791712.1212121211</v>
      </c>
      <c r="X60" s="152">
        <v>785712.1212121211</v>
      </c>
      <c r="Y60" s="152">
        <v>785712.1212121211</v>
      </c>
      <c r="Z60" s="152">
        <v>845712.12121212005</v>
      </c>
      <c r="AA60" s="152">
        <v>845712.12121212005</v>
      </c>
      <c r="AB60" s="152">
        <v>845712.12121212005</v>
      </c>
      <c r="AC60" s="152">
        <v>845712.12121212005</v>
      </c>
      <c r="AD60" s="152">
        <v>845712.12121212005</v>
      </c>
      <c r="AE60" s="156">
        <v>845712.12121212005</v>
      </c>
      <c r="AF60" s="157">
        <v>6000</v>
      </c>
      <c r="AG60" s="152">
        <v>0</v>
      </c>
      <c r="AH60" s="152">
        <v>0</v>
      </c>
      <c r="AI60" s="152">
        <v>666666.66666666546</v>
      </c>
      <c r="AJ60" s="152">
        <v>666666.66666666546</v>
      </c>
      <c r="AK60" s="152">
        <v>666666.66666666546</v>
      </c>
      <c r="AL60" s="152">
        <v>666666.66666666546</v>
      </c>
      <c r="AM60" s="152">
        <v>666666.66666666546</v>
      </c>
      <c r="AN60" s="152">
        <v>666666.66666666546</v>
      </c>
      <c r="AO60" s="156">
        <v>4005999.999999993</v>
      </c>
      <c r="AP60" s="158"/>
      <c r="AQ60" s="160">
        <v>6000</v>
      </c>
      <c r="AR60" s="145"/>
      <c r="AS60" s="145"/>
      <c r="AT60" s="145"/>
      <c r="AU60" s="145"/>
      <c r="AV60" s="145"/>
      <c r="AW60" s="161">
        <v>3999999.999999993</v>
      </c>
      <c r="AX60" s="151"/>
    </row>
    <row r="61" spans="1:50" ht="26.1" customHeight="1" x14ac:dyDescent="0.25">
      <c r="A61" s="205" t="s">
        <v>357</v>
      </c>
      <c r="B61" s="47" t="s">
        <v>4</v>
      </c>
      <c r="C61" s="255" t="s">
        <v>405</v>
      </c>
      <c r="D61" s="48" t="s">
        <v>397</v>
      </c>
      <c r="E61" s="204" t="s">
        <v>455</v>
      </c>
      <c r="F61" s="68" t="s">
        <v>321</v>
      </c>
      <c r="G61" s="48" t="s">
        <v>313</v>
      </c>
      <c r="H61" s="211">
        <v>0</v>
      </c>
      <c r="I61" s="212">
        <v>785712.1212121211</v>
      </c>
      <c r="J61" s="170">
        <v>785712.1212121211</v>
      </c>
      <c r="K61" s="170">
        <v>785712.1212121211</v>
      </c>
      <c r="L61" s="170">
        <v>179045.45454545456</v>
      </c>
      <c r="M61" s="170">
        <v>179045.45454545456</v>
      </c>
      <c r="N61" s="170">
        <v>179045.45454545456</v>
      </c>
      <c r="O61" s="170">
        <v>179045.45454545456</v>
      </c>
      <c r="P61" s="170">
        <v>179045.45454545456</v>
      </c>
      <c r="Q61" s="170">
        <v>179045.45454545456</v>
      </c>
      <c r="R61" s="213">
        <v>3431409.0909090908</v>
      </c>
      <c r="S61" s="330">
        <f>98475000*9/(98475000*9+2600000*550)</f>
        <v>0.38262943735091903</v>
      </c>
      <c r="T61" s="48"/>
      <c r="U61" s="330">
        <f>2600000*550/(98475000*9+2600000*550)</f>
        <v>0.61737056264908097</v>
      </c>
      <c r="V61" s="216" t="s">
        <v>454</v>
      </c>
      <c r="W61" s="212">
        <v>785712.1212121211</v>
      </c>
      <c r="X61" s="170">
        <v>785712.1212121211</v>
      </c>
      <c r="Y61" s="170">
        <v>785712.1212121211</v>
      </c>
      <c r="Z61" s="170">
        <v>845712.12121212005</v>
      </c>
      <c r="AA61" s="170">
        <v>845712.12121212005</v>
      </c>
      <c r="AB61" s="170">
        <v>845712.12121212005</v>
      </c>
      <c r="AC61" s="170">
        <v>845712.12121212005</v>
      </c>
      <c r="AD61" s="170">
        <v>845712.12121212005</v>
      </c>
      <c r="AE61" s="213">
        <v>845712.12121212005</v>
      </c>
      <c r="AF61" s="217">
        <v>0</v>
      </c>
      <c r="AG61" s="217">
        <v>0</v>
      </c>
      <c r="AH61" s="217">
        <v>0</v>
      </c>
      <c r="AI61" s="217">
        <v>666666.66666666546</v>
      </c>
      <c r="AJ61" s="217">
        <v>666666.66666666546</v>
      </c>
      <c r="AK61" s="217">
        <v>666666.66666666546</v>
      </c>
      <c r="AL61" s="217">
        <v>666666.66666666546</v>
      </c>
      <c r="AM61" s="217">
        <v>666666.66666666546</v>
      </c>
      <c r="AN61" s="217">
        <v>666666.66666666546</v>
      </c>
      <c r="AO61" s="218">
        <v>3999999.999999993</v>
      </c>
      <c r="AP61" s="219"/>
      <c r="AQ61" s="220"/>
      <c r="AR61" s="220"/>
      <c r="AS61" s="210"/>
      <c r="AT61" s="210"/>
      <c r="AU61" s="210"/>
      <c r="AV61" s="210"/>
      <c r="AW61" s="221">
        <v>3999999.999999993</v>
      </c>
      <c r="AX61" s="222"/>
    </row>
    <row r="62" spans="1:50" ht="26.1" customHeight="1" x14ac:dyDescent="0.25">
      <c r="A62" s="205" t="s">
        <v>357</v>
      </c>
      <c r="B62" s="47" t="s">
        <v>2</v>
      </c>
      <c r="C62" s="77" t="s">
        <v>403</v>
      </c>
      <c r="D62" s="77" t="s">
        <v>393</v>
      </c>
      <c r="E62" s="312" t="s">
        <v>57</v>
      </c>
      <c r="F62" s="68" t="s">
        <v>349</v>
      </c>
      <c r="G62" s="77" t="s">
        <v>313</v>
      </c>
      <c r="H62" s="320">
        <v>0</v>
      </c>
      <c r="I62" s="321">
        <v>0</v>
      </c>
      <c r="J62" s="317">
        <v>0</v>
      </c>
      <c r="K62" s="317">
        <v>0</v>
      </c>
      <c r="L62" s="317">
        <v>0</v>
      </c>
      <c r="M62" s="317">
        <v>0</v>
      </c>
      <c r="N62" s="317">
        <v>0</v>
      </c>
      <c r="O62" s="317">
        <v>0</v>
      </c>
      <c r="P62" s="317">
        <v>0</v>
      </c>
      <c r="Q62" s="317">
        <v>0</v>
      </c>
      <c r="R62" s="324">
        <v>0</v>
      </c>
      <c r="S62" s="322"/>
      <c r="T62" s="77"/>
      <c r="U62" s="77"/>
      <c r="V62" s="323"/>
      <c r="W62" s="321">
        <v>6000</v>
      </c>
      <c r="X62" s="317">
        <v>0</v>
      </c>
      <c r="Y62" s="317">
        <v>0</v>
      </c>
      <c r="Z62" s="317">
        <v>0</v>
      </c>
      <c r="AA62" s="317">
        <v>0</v>
      </c>
      <c r="AB62" s="317">
        <v>0</v>
      </c>
      <c r="AC62" s="317">
        <v>0</v>
      </c>
      <c r="AD62" s="317">
        <v>0</v>
      </c>
      <c r="AE62" s="324">
        <v>0</v>
      </c>
      <c r="AF62" s="217">
        <v>6000</v>
      </c>
      <c r="AG62" s="170">
        <v>0</v>
      </c>
      <c r="AH62" s="170">
        <v>0</v>
      </c>
      <c r="AI62" s="170">
        <v>0</v>
      </c>
      <c r="AJ62" s="170">
        <v>0</v>
      </c>
      <c r="AK62" s="170">
        <v>0</v>
      </c>
      <c r="AL62" s="170">
        <v>0</v>
      </c>
      <c r="AM62" s="170">
        <v>0</v>
      </c>
      <c r="AN62" s="170">
        <v>0</v>
      </c>
      <c r="AO62" s="218">
        <v>6000</v>
      </c>
      <c r="AP62" s="325"/>
      <c r="AQ62" s="326">
        <v>6000</v>
      </c>
      <c r="AR62" s="326"/>
      <c r="AS62" s="315"/>
      <c r="AT62" s="315"/>
      <c r="AU62" s="315"/>
      <c r="AV62" s="315"/>
      <c r="AW62" s="221">
        <v>0</v>
      </c>
      <c r="AX62" s="327"/>
    </row>
    <row r="63" spans="1:50" ht="26.1" customHeight="1" x14ac:dyDescent="0.25">
      <c r="A63" s="144" t="s">
        <v>355</v>
      </c>
      <c r="B63" s="59" t="s">
        <v>4</v>
      </c>
      <c r="C63" s="145"/>
      <c r="D63" s="60"/>
      <c r="E63" s="143" t="s">
        <v>249</v>
      </c>
      <c r="F63" s="154" t="s">
        <v>355</v>
      </c>
      <c r="G63" s="155"/>
      <c r="H63" s="156">
        <v>0</v>
      </c>
      <c r="I63" s="157">
        <v>0</v>
      </c>
      <c r="J63" s="152">
        <v>12363.636363636364</v>
      </c>
      <c r="K63" s="152">
        <v>6181.818181818182</v>
      </c>
      <c r="L63" s="152">
        <v>6181.818181818182</v>
      </c>
      <c r="M63" s="152">
        <v>0</v>
      </c>
      <c r="N63" s="152">
        <v>0</v>
      </c>
      <c r="O63" s="152">
        <v>0</v>
      </c>
      <c r="P63" s="152">
        <v>0</v>
      </c>
      <c r="Q63" s="152">
        <v>0</v>
      </c>
      <c r="R63" s="156">
        <v>24727.272727272728</v>
      </c>
      <c r="S63" s="157">
        <f>+R64*S64</f>
        <v>24727.272727272728</v>
      </c>
      <c r="T63" s="152"/>
      <c r="U63" s="152">
        <f>+R64*U64</f>
        <v>0</v>
      </c>
      <c r="V63" s="159"/>
      <c r="W63" s="157">
        <v>0</v>
      </c>
      <c r="X63" s="152">
        <v>37090.909090909088</v>
      </c>
      <c r="Y63" s="152">
        <v>12363.636363636364</v>
      </c>
      <c r="Z63" s="152">
        <v>12363.636363636364</v>
      </c>
      <c r="AA63" s="152">
        <v>0</v>
      </c>
      <c r="AB63" s="152">
        <v>0</v>
      </c>
      <c r="AC63" s="152">
        <v>0</v>
      </c>
      <c r="AD63" s="152">
        <v>0</v>
      </c>
      <c r="AE63" s="156">
        <v>0</v>
      </c>
      <c r="AF63" s="157">
        <v>0</v>
      </c>
      <c r="AG63" s="152">
        <v>24727.272727272728</v>
      </c>
      <c r="AH63" s="152">
        <v>6181.818181818182</v>
      </c>
      <c r="AI63" s="152">
        <v>6181.818181818182</v>
      </c>
      <c r="AJ63" s="152">
        <v>0</v>
      </c>
      <c r="AK63" s="152">
        <v>0</v>
      </c>
      <c r="AL63" s="152">
        <v>0</v>
      </c>
      <c r="AM63" s="152">
        <v>0</v>
      </c>
      <c r="AN63" s="152">
        <v>0</v>
      </c>
      <c r="AO63" s="156">
        <v>37090.909090909088</v>
      </c>
      <c r="AP63" s="158"/>
      <c r="AQ63" s="160">
        <v>0</v>
      </c>
      <c r="AR63" s="145"/>
      <c r="AS63" s="145"/>
      <c r="AT63" s="145"/>
      <c r="AU63" s="145"/>
      <c r="AV63" s="145"/>
      <c r="AW63" s="161">
        <v>37090.909090909088</v>
      </c>
      <c r="AX63" s="151"/>
    </row>
    <row r="64" spans="1:50" ht="26.1" customHeight="1" x14ac:dyDescent="0.25">
      <c r="A64" s="205" t="s">
        <v>355</v>
      </c>
      <c r="B64" s="47" t="s">
        <v>4</v>
      </c>
      <c r="C64" s="48" t="s">
        <v>404</v>
      </c>
      <c r="D64" s="48" t="s">
        <v>394</v>
      </c>
      <c r="E64" s="204" t="s">
        <v>56</v>
      </c>
      <c r="F64" s="257" t="s">
        <v>312</v>
      </c>
      <c r="G64" s="48" t="s">
        <v>313</v>
      </c>
      <c r="H64" s="269">
        <v>0</v>
      </c>
      <c r="I64" s="212">
        <v>0</v>
      </c>
      <c r="J64" s="170">
        <v>12363.636363636364</v>
      </c>
      <c r="K64" s="170">
        <v>6181.818181818182</v>
      </c>
      <c r="L64" s="170">
        <v>6181.818181818182</v>
      </c>
      <c r="M64" s="170">
        <v>0</v>
      </c>
      <c r="N64" s="170">
        <v>0</v>
      </c>
      <c r="O64" s="170">
        <v>0</v>
      </c>
      <c r="P64" s="170">
        <v>0</v>
      </c>
      <c r="Q64" s="170">
        <v>0</v>
      </c>
      <c r="R64" s="213">
        <v>24727.272727272728</v>
      </c>
      <c r="S64" s="242">
        <v>1</v>
      </c>
      <c r="T64" s="48"/>
      <c r="U64" s="48"/>
      <c r="V64" s="243"/>
      <c r="W64" s="212">
        <v>0</v>
      </c>
      <c r="X64" s="170">
        <v>37090.909090909088</v>
      </c>
      <c r="Y64" s="170">
        <v>12363.636363636364</v>
      </c>
      <c r="Z64" s="170">
        <v>12363.636363636364</v>
      </c>
      <c r="AA64" s="170">
        <v>0</v>
      </c>
      <c r="AB64" s="170">
        <v>0</v>
      </c>
      <c r="AC64" s="170">
        <v>0</v>
      </c>
      <c r="AD64" s="170">
        <v>0</v>
      </c>
      <c r="AE64" s="213">
        <v>0</v>
      </c>
      <c r="AF64" s="212">
        <v>0</v>
      </c>
      <c r="AG64" s="170">
        <v>24727.272727272728</v>
      </c>
      <c r="AH64" s="170">
        <v>6181.818181818182</v>
      </c>
      <c r="AI64" s="170">
        <v>6181.818181818182</v>
      </c>
      <c r="AJ64" s="170">
        <v>0</v>
      </c>
      <c r="AK64" s="170">
        <v>0</v>
      </c>
      <c r="AL64" s="170">
        <v>0</v>
      </c>
      <c r="AM64" s="170">
        <v>0</v>
      </c>
      <c r="AN64" s="170">
        <v>0</v>
      </c>
      <c r="AO64" s="213">
        <v>37090.909090909088</v>
      </c>
      <c r="AP64" s="219"/>
      <c r="AQ64" s="220"/>
      <c r="AR64" s="220"/>
      <c r="AS64" s="210"/>
      <c r="AT64" s="210"/>
      <c r="AU64" s="210"/>
      <c r="AV64" s="210"/>
      <c r="AW64" s="221">
        <v>37090.909090909088</v>
      </c>
      <c r="AX64" s="222"/>
    </row>
    <row r="65" spans="1:50" ht="26.1" customHeight="1" x14ac:dyDescent="0.25">
      <c r="A65" s="124"/>
      <c r="B65" s="55"/>
      <c r="C65" s="126"/>
      <c r="D65" s="56"/>
      <c r="E65" s="123" t="s">
        <v>60</v>
      </c>
      <c r="F65" s="126"/>
      <c r="G65" s="134"/>
      <c r="H65" s="135">
        <v>119454.54545454546</v>
      </c>
      <c r="I65" s="136">
        <v>317109.09090909088</v>
      </c>
      <c r="J65" s="133">
        <v>321263.27272727271</v>
      </c>
      <c r="K65" s="133">
        <v>265565.11030303035</v>
      </c>
      <c r="L65" s="133">
        <v>213166.91209696964</v>
      </c>
      <c r="M65" s="133">
        <v>159160.40430836362</v>
      </c>
      <c r="N65" s="133">
        <v>161788.85280125093</v>
      </c>
      <c r="O65" s="133">
        <v>161174.33656710663</v>
      </c>
      <c r="P65" s="133">
        <v>163863.20302775619</v>
      </c>
      <c r="Q65" s="133">
        <v>163310.91730040705</v>
      </c>
      <c r="R65" s="137">
        <v>1926402.1000412481</v>
      </c>
      <c r="S65" s="136">
        <f>+S66+S70+S74+S76+S78+S82+S85+S87+S91+S95+S97</f>
        <v>923555.9083950565</v>
      </c>
      <c r="T65" s="133"/>
      <c r="U65" s="133">
        <f>+U66+U70+U74+U76+U78+U82+U85+U87+U91+U95+U97</f>
        <v>1002846.1916461916</v>
      </c>
      <c r="V65" s="139"/>
      <c r="W65" s="136">
        <f t="shared" ref="W65:AE65" si="1">+W66+W70+W74+W76+W78+W82+W85+W87+W91+W95+W97</f>
        <v>1293490.9090909092</v>
      </c>
      <c r="X65" s="133">
        <f t="shared" si="1"/>
        <v>1484246.1818181819</v>
      </c>
      <c r="Y65" s="133">
        <f t="shared" si="1"/>
        <v>851400.71393939399</v>
      </c>
      <c r="Z65" s="133">
        <f t="shared" si="1"/>
        <v>590702.27344242414</v>
      </c>
      <c r="AA65" s="133">
        <f t="shared" si="1"/>
        <v>483475.35897709086</v>
      </c>
      <c r="AB65" s="133">
        <f t="shared" si="1"/>
        <v>500778.80469715269</v>
      </c>
      <c r="AC65" s="133">
        <f t="shared" si="1"/>
        <v>543587.62839692226</v>
      </c>
      <c r="AD65" s="133">
        <f t="shared" si="1"/>
        <v>607665.78963522566</v>
      </c>
      <c r="AE65" s="137">
        <f t="shared" si="1"/>
        <v>562923.79726749705</v>
      </c>
      <c r="AF65" s="136">
        <v>976381.81818181823</v>
      </c>
      <c r="AG65" s="133">
        <v>1162982.9090909092</v>
      </c>
      <c r="AH65" s="133">
        <v>585835.60363636364</v>
      </c>
      <c r="AI65" s="133">
        <v>377535.36134545458</v>
      </c>
      <c r="AJ65" s="133">
        <v>324314.95466872724</v>
      </c>
      <c r="AK65" s="133">
        <v>338989.95189590182</v>
      </c>
      <c r="AL65" s="133">
        <v>382413.29182981566</v>
      </c>
      <c r="AM65" s="133">
        <v>443802.58660746954</v>
      </c>
      <c r="AN65" s="133">
        <v>399612.87996708992</v>
      </c>
      <c r="AO65" s="137">
        <v>4991869.3572235489</v>
      </c>
      <c r="AP65" s="138"/>
      <c r="AQ65" s="140">
        <v>2666500</v>
      </c>
      <c r="AR65" s="126"/>
      <c r="AS65" s="126"/>
      <c r="AT65" s="126"/>
      <c r="AU65" s="126"/>
      <c r="AV65" s="126"/>
      <c r="AW65" s="141">
        <v>2325369.3572235494</v>
      </c>
      <c r="AX65" s="132"/>
    </row>
    <row r="66" spans="1:50" ht="26.1" customHeight="1" x14ac:dyDescent="0.25">
      <c r="A66" s="144" t="s">
        <v>357</v>
      </c>
      <c r="B66" s="59" t="s">
        <v>4</v>
      </c>
      <c r="C66" s="145"/>
      <c r="D66" s="60"/>
      <c r="E66" s="143" t="s">
        <v>61</v>
      </c>
      <c r="F66" s="154" t="s">
        <v>357</v>
      </c>
      <c r="G66" s="155"/>
      <c r="H66" s="156">
        <v>21818.18181818182</v>
      </c>
      <c r="I66" s="157">
        <v>29381.81818181818</v>
      </c>
      <c r="J66" s="152">
        <v>30263.272727272728</v>
      </c>
      <c r="K66" s="152">
        <v>31171.17090909091</v>
      </c>
      <c r="L66" s="152">
        <v>32106.306036363636</v>
      </c>
      <c r="M66" s="152">
        <v>33069.495217454547</v>
      </c>
      <c r="N66" s="152">
        <v>34061.580073978184</v>
      </c>
      <c r="O66" s="152">
        <v>35083.427476197532</v>
      </c>
      <c r="P66" s="152">
        <v>36135.930300483458</v>
      </c>
      <c r="Q66" s="152">
        <v>37220.008209497959</v>
      </c>
      <c r="R66" s="156">
        <v>298493.0091321572</v>
      </c>
      <c r="S66" s="157">
        <f>+R67*S67+R68*S68+R69*S69</f>
        <v>298493.0091321572</v>
      </c>
      <c r="T66" s="145"/>
      <c r="U66" s="161">
        <f>+R67*U67+R68*U68+R69*U69</f>
        <v>0</v>
      </c>
      <c r="V66" s="159"/>
      <c r="W66" s="157">
        <v>111472.72727272728</v>
      </c>
      <c r="X66" s="152">
        <v>222112.36363636365</v>
      </c>
      <c r="Y66" s="152">
        <v>108821.18909090909</v>
      </c>
      <c r="Z66" s="152">
        <v>146631.27930909093</v>
      </c>
      <c r="AA66" s="152">
        <v>185575.67223381819</v>
      </c>
      <c r="AB66" s="152">
        <v>225688.39694628728</v>
      </c>
      <c r="AC66" s="152">
        <v>267004.50340013049</v>
      </c>
      <c r="AD66" s="152">
        <v>275014.63850213442</v>
      </c>
      <c r="AE66" s="156">
        <v>283265.07765719842</v>
      </c>
      <c r="AF66" s="157">
        <v>82090.909090909088</v>
      </c>
      <c r="AG66" s="152">
        <v>191849.09090909091</v>
      </c>
      <c r="AH66" s="152">
        <v>77650.018181818188</v>
      </c>
      <c r="AI66" s="152">
        <v>114524.97327272726</v>
      </c>
      <c r="AJ66" s="152">
        <v>152506.17701636362</v>
      </c>
      <c r="AK66" s="152">
        <v>191626.81687230911</v>
      </c>
      <c r="AL66" s="152">
        <v>231921.07592393292</v>
      </c>
      <c r="AM66" s="152">
        <v>238878.70820165094</v>
      </c>
      <c r="AN66" s="152">
        <v>246045.06944770043</v>
      </c>
      <c r="AO66" s="156">
        <v>1527092.8389165024</v>
      </c>
      <c r="AP66" s="158"/>
      <c r="AQ66" s="160">
        <v>443000</v>
      </c>
      <c r="AR66" s="145"/>
      <c r="AS66" s="145"/>
      <c r="AT66" s="145"/>
      <c r="AU66" s="145"/>
      <c r="AV66" s="145"/>
      <c r="AW66" s="152">
        <v>1084092.8389165022</v>
      </c>
      <c r="AX66" s="151"/>
    </row>
    <row r="67" spans="1:50" ht="26.1" customHeight="1" x14ac:dyDescent="0.25">
      <c r="A67" s="205" t="s">
        <v>356</v>
      </c>
      <c r="B67" s="47" t="s">
        <v>4</v>
      </c>
      <c r="C67" s="48" t="s">
        <v>406</v>
      </c>
      <c r="D67" s="48" t="s">
        <v>63</v>
      </c>
      <c r="E67" s="204" t="s">
        <v>62</v>
      </c>
      <c r="F67" s="68" t="s">
        <v>321</v>
      </c>
      <c r="G67" s="48" t="s">
        <v>323</v>
      </c>
      <c r="H67" s="269">
        <v>21818.18181818182</v>
      </c>
      <c r="I67" s="212">
        <v>22472.727272727272</v>
      </c>
      <c r="J67" s="170">
        <v>23146.909090909092</v>
      </c>
      <c r="K67" s="170">
        <v>23841.316363636364</v>
      </c>
      <c r="L67" s="170">
        <v>24556.555854545455</v>
      </c>
      <c r="M67" s="170">
        <v>25293.25253018182</v>
      </c>
      <c r="N67" s="170">
        <v>26052.050106087278</v>
      </c>
      <c r="O67" s="170">
        <v>26833.611609269894</v>
      </c>
      <c r="P67" s="170">
        <v>27638.619957547995</v>
      </c>
      <c r="Q67" s="170">
        <v>28467.778556274432</v>
      </c>
      <c r="R67" s="213">
        <v>228302.8213411796</v>
      </c>
      <c r="S67" s="270">
        <v>1</v>
      </c>
      <c r="T67" s="48"/>
      <c r="U67" s="48"/>
      <c r="V67" s="243"/>
      <c r="W67" s="212">
        <v>22472.727272727272</v>
      </c>
      <c r="X67" s="170">
        <v>57692.36363636364</v>
      </c>
      <c r="Y67" s="170">
        <v>93968.589090909096</v>
      </c>
      <c r="Z67" s="170">
        <v>131333.10130909091</v>
      </c>
      <c r="AA67" s="170">
        <v>169818.54889381817</v>
      </c>
      <c r="AB67" s="170">
        <v>209458.55990608726</v>
      </c>
      <c r="AC67" s="170">
        <v>250287.77124872446</v>
      </c>
      <c r="AD67" s="170">
        <v>257796.40438618622</v>
      </c>
      <c r="AE67" s="213">
        <v>265530.29651777179</v>
      </c>
      <c r="AF67" s="212">
        <v>0</v>
      </c>
      <c r="AG67" s="170">
        <v>34545.454545454544</v>
      </c>
      <c r="AH67" s="170">
        <v>70127.272727272721</v>
      </c>
      <c r="AI67" s="170">
        <v>106776.54545454546</v>
      </c>
      <c r="AJ67" s="170">
        <v>144525.29636363636</v>
      </c>
      <c r="AK67" s="170">
        <v>183406.5098</v>
      </c>
      <c r="AL67" s="170">
        <v>223454.15963945456</v>
      </c>
      <c r="AM67" s="170">
        <v>230157.78442863823</v>
      </c>
      <c r="AN67" s="170">
        <v>237062.51796149736</v>
      </c>
      <c r="AO67" s="213">
        <v>1230055.540920499</v>
      </c>
      <c r="AP67" s="219"/>
      <c r="AQ67" s="220">
        <v>218000</v>
      </c>
      <c r="AR67" s="220" t="s">
        <v>328</v>
      </c>
      <c r="AS67" s="210"/>
      <c r="AT67" s="210"/>
      <c r="AU67" s="210"/>
      <c r="AV67" s="210"/>
      <c r="AW67" s="221">
        <v>1012055.540920499</v>
      </c>
      <c r="AX67" s="222"/>
    </row>
    <row r="68" spans="1:50" ht="26.1" customHeight="1" x14ac:dyDescent="0.25">
      <c r="A68" s="275" t="s">
        <v>357</v>
      </c>
      <c r="B68" s="47" t="s">
        <v>4</v>
      </c>
      <c r="C68" s="48" t="s">
        <v>406</v>
      </c>
      <c r="D68" s="48" t="s">
        <v>63</v>
      </c>
      <c r="E68" s="237" t="s">
        <v>64</v>
      </c>
      <c r="F68" s="68" t="s">
        <v>349</v>
      </c>
      <c r="G68" s="48" t="s">
        <v>313</v>
      </c>
      <c r="H68" s="269">
        <v>0</v>
      </c>
      <c r="I68" s="212">
        <v>6909.090909090909</v>
      </c>
      <c r="J68" s="170">
        <v>7116.363636363636</v>
      </c>
      <c r="K68" s="170">
        <v>7329.8545454545456</v>
      </c>
      <c r="L68" s="170">
        <v>7549.7501818181818</v>
      </c>
      <c r="M68" s="170">
        <v>7776.2426872727274</v>
      </c>
      <c r="N68" s="170">
        <v>8009.5299678909105</v>
      </c>
      <c r="O68" s="170">
        <v>8249.8158669276381</v>
      </c>
      <c r="P68" s="170">
        <v>8497.3103429354669</v>
      </c>
      <c r="Q68" s="170">
        <v>8752.2296532235305</v>
      </c>
      <c r="R68" s="213">
        <v>70190.187790977565</v>
      </c>
      <c r="S68" s="270">
        <v>1</v>
      </c>
      <c r="T68" s="48"/>
      <c r="U68" s="48"/>
      <c r="V68" s="243"/>
      <c r="W68" s="212">
        <v>14000</v>
      </c>
      <c r="X68" s="170">
        <v>14420</v>
      </c>
      <c r="Y68" s="170">
        <v>14852.6</v>
      </c>
      <c r="Z68" s="170">
        <v>15298.178</v>
      </c>
      <c r="AA68" s="170">
        <v>15757.123340000002</v>
      </c>
      <c r="AB68" s="170">
        <v>16229.837040200004</v>
      </c>
      <c r="AC68" s="170">
        <v>16716.732151406006</v>
      </c>
      <c r="AD68" s="170">
        <v>17218.234115948188</v>
      </c>
      <c r="AE68" s="213">
        <v>17734.781139426632</v>
      </c>
      <c r="AF68" s="212">
        <v>7090.909090909091</v>
      </c>
      <c r="AG68" s="170">
        <v>7303.636363636364</v>
      </c>
      <c r="AH68" s="170">
        <v>7522.7454545454548</v>
      </c>
      <c r="AI68" s="170">
        <v>7748.4278181818199</v>
      </c>
      <c r="AJ68" s="170">
        <v>7980.8806527272745</v>
      </c>
      <c r="AK68" s="170">
        <v>8220.3070723090932</v>
      </c>
      <c r="AL68" s="170">
        <v>8466.9162844783659</v>
      </c>
      <c r="AM68" s="170">
        <v>8720.9237730127188</v>
      </c>
      <c r="AN68" s="170">
        <v>8982.5514862030996</v>
      </c>
      <c r="AO68" s="213">
        <v>72037.297996003283</v>
      </c>
      <c r="AP68" s="219"/>
      <c r="AQ68" s="220"/>
      <c r="AR68" s="220"/>
      <c r="AS68" s="210"/>
      <c r="AT68" s="210"/>
      <c r="AU68" s="210"/>
      <c r="AV68" s="210"/>
      <c r="AW68" s="221">
        <v>72037.297996003283</v>
      </c>
      <c r="AX68" s="222"/>
    </row>
    <row r="69" spans="1:50" ht="26.1" customHeight="1" x14ac:dyDescent="0.25">
      <c r="A69" s="205" t="s">
        <v>357</v>
      </c>
      <c r="B69" s="47" t="s">
        <v>4</v>
      </c>
      <c r="C69" s="48" t="s">
        <v>403</v>
      </c>
      <c r="D69" s="48" t="s">
        <v>393</v>
      </c>
      <c r="E69" s="312" t="s">
        <v>65</v>
      </c>
      <c r="F69" s="68" t="s">
        <v>349</v>
      </c>
      <c r="G69" s="77" t="s">
        <v>313</v>
      </c>
      <c r="H69" s="320">
        <v>0</v>
      </c>
      <c r="I69" s="321">
        <v>0</v>
      </c>
      <c r="J69" s="317">
        <v>0</v>
      </c>
      <c r="K69" s="317">
        <v>0</v>
      </c>
      <c r="L69" s="317">
        <v>0</v>
      </c>
      <c r="M69" s="317">
        <v>0</v>
      </c>
      <c r="N69" s="317">
        <v>0</v>
      </c>
      <c r="O69" s="317">
        <v>0</v>
      </c>
      <c r="P69" s="317">
        <v>0</v>
      </c>
      <c r="Q69" s="317">
        <v>0</v>
      </c>
      <c r="R69" s="213">
        <v>0</v>
      </c>
      <c r="S69" s="322"/>
      <c r="T69" s="77"/>
      <c r="U69" s="77"/>
      <c r="V69" s="323"/>
      <c r="W69" s="321">
        <v>75000</v>
      </c>
      <c r="X69" s="317">
        <v>150000</v>
      </c>
      <c r="Y69" s="317">
        <v>0</v>
      </c>
      <c r="Z69" s="317">
        <v>0</v>
      </c>
      <c r="AA69" s="317">
        <v>0</v>
      </c>
      <c r="AB69" s="317">
        <v>0</v>
      </c>
      <c r="AC69" s="317">
        <v>0</v>
      </c>
      <c r="AD69" s="317">
        <v>0</v>
      </c>
      <c r="AE69" s="324">
        <v>0</v>
      </c>
      <c r="AF69" s="217">
        <v>75000</v>
      </c>
      <c r="AG69" s="170">
        <v>150000</v>
      </c>
      <c r="AH69" s="170">
        <v>0</v>
      </c>
      <c r="AI69" s="170">
        <v>0</v>
      </c>
      <c r="AJ69" s="170">
        <v>0</v>
      </c>
      <c r="AK69" s="170">
        <v>0</v>
      </c>
      <c r="AL69" s="170">
        <v>0</v>
      </c>
      <c r="AM69" s="170">
        <v>0</v>
      </c>
      <c r="AN69" s="170">
        <v>0</v>
      </c>
      <c r="AO69" s="218">
        <v>225000</v>
      </c>
      <c r="AP69" s="325"/>
      <c r="AQ69" s="326">
        <v>225000</v>
      </c>
      <c r="AR69" s="326" t="s">
        <v>482</v>
      </c>
      <c r="AS69" s="315"/>
      <c r="AT69" s="315"/>
      <c r="AU69" s="315"/>
      <c r="AV69" s="315"/>
      <c r="AW69" s="221">
        <v>0</v>
      </c>
      <c r="AX69" s="327"/>
    </row>
    <row r="70" spans="1:50" ht="26.1" customHeight="1" x14ac:dyDescent="0.25">
      <c r="A70" s="144" t="s">
        <v>357</v>
      </c>
      <c r="B70" s="59" t="s">
        <v>490</v>
      </c>
      <c r="C70" s="145"/>
      <c r="D70" s="60"/>
      <c r="E70" s="143" t="s">
        <v>66</v>
      </c>
      <c r="F70" s="154" t="s">
        <v>357</v>
      </c>
      <c r="G70" s="155"/>
      <c r="H70" s="156">
        <v>0</v>
      </c>
      <c r="I70" s="157">
        <v>11090.90909090909</v>
      </c>
      <c r="J70" s="152">
        <v>11090.90909090909</v>
      </c>
      <c r="K70" s="152">
        <v>11090.90909090909</v>
      </c>
      <c r="L70" s="152">
        <v>11090.90909090909</v>
      </c>
      <c r="M70" s="152">
        <v>11090.90909090909</v>
      </c>
      <c r="N70" s="152">
        <v>11090.90909090909</v>
      </c>
      <c r="O70" s="152">
        <v>11090.90909090909</v>
      </c>
      <c r="P70" s="152">
        <v>11090.90909090909</v>
      </c>
      <c r="Q70" s="152">
        <v>11090.90909090909</v>
      </c>
      <c r="R70" s="156">
        <v>99818.181818181823</v>
      </c>
      <c r="S70" s="157">
        <f>+R71*S71+R72*S72+R73*S73</f>
        <v>99818.181818181823</v>
      </c>
      <c r="T70" s="145"/>
      <c r="U70" s="161">
        <f>+R71*U71+R72*U72+R73*U73</f>
        <v>0</v>
      </c>
      <c r="V70" s="159"/>
      <c r="W70" s="157">
        <v>100681.81818181818</v>
      </c>
      <c r="X70" s="152">
        <v>82181.818181818177</v>
      </c>
      <c r="Y70" s="152">
        <v>22181.81818181818</v>
      </c>
      <c r="Z70" s="152">
        <v>22181.81818181818</v>
      </c>
      <c r="AA70" s="152">
        <v>22181.81818181818</v>
      </c>
      <c r="AB70" s="152">
        <v>22181.81818181818</v>
      </c>
      <c r="AC70" s="152">
        <v>22181.81818181818</v>
      </c>
      <c r="AD70" s="152">
        <v>22181.81818181818</v>
      </c>
      <c r="AE70" s="156">
        <v>22181.81818181818</v>
      </c>
      <c r="AF70" s="157">
        <v>89590.909090909088</v>
      </c>
      <c r="AG70" s="152">
        <v>71090.909090909088</v>
      </c>
      <c r="AH70" s="152">
        <v>11090.90909090909</v>
      </c>
      <c r="AI70" s="152">
        <v>11090.90909090909</v>
      </c>
      <c r="AJ70" s="152">
        <v>11090.90909090909</v>
      </c>
      <c r="AK70" s="152">
        <v>11090.90909090909</v>
      </c>
      <c r="AL70" s="152">
        <v>11090.90909090909</v>
      </c>
      <c r="AM70" s="152">
        <v>11090.90909090909</v>
      </c>
      <c r="AN70" s="152">
        <v>11090.90909090909</v>
      </c>
      <c r="AO70" s="156">
        <v>238318.18181818182</v>
      </c>
      <c r="AP70" s="158"/>
      <c r="AQ70" s="160">
        <v>228500</v>
      </c>
      <c r="AR70" s="145"/>
      <c r="AS70" s="145"/>
      <c r="AT70" s="145"/>
      <c r="AU70" s="145"/>
      <c r="AV70" s="145"/>
      <c r="AW70" s="152">
        <v>9818.181818181818</v>
      </c>
      <c r="AX70" s="151"/>
    </row>
    <row r="71" spans="1:50" ht="26.1" customHeight="1" x14ac:dyDescent="0.25">
      <c r="A71" s="205" t="s">
        <v>356</v>
      </c>
      <c r="B71" s="47" t="s">
        <v>4</v>
      </c>
      <c r="C71" s="48" t="s">
        <v>406</v>
      </c>
      <c r="D71" s="48" t="s">
        <v>63</v>
      </c>
      <c r="E71" s="204" t="s">
        <v>67</v>
      </c>
      <c r="F71" s="68" t="s">
        <v>321</v>
      </c>
      <c r="G71" s="48" t="s">
        <v>323</v>
      </c>
      <c r="H71" s="241">
        <v>0</v>
      </c>
      <c r="I71" s="212">
        <v>9454.545454545454</v>
      </c>
      <c r="J71" s="170">
        <v>9454.545454545454</v>
      </c>
      <c r="K71" s="170">
        <v>9454.545454545454</v>
      </c>
      <c r="L71" s="170">
        <v>9454.545454545454</v>
      </c>
      <c r="M71" s="170">
        <v>9454.545454545454</v>
      </c>
      <c r="N71" s="170">
        <v>9454.545454545454</v>
      </c>
      <c r="O71" s="170">
        <v>9454.545454545454</v>
      </c>
      <c r="P71" s="170">
        <v>9454.545454545454</v>
      </c>
      <c r="Q71" s="170">
        <v>9454.545454545454</v>
      </c>
      <c r="R71" s="213">
        <v>85090.909090909088</v>
      </c>
      <c r="S71" s="242">
        <v>1</v>
      </c>
      <c r="T71" s="48"/>
      <c r="U71" s="48"/>
      <c r="V71" s="243"/>
      <c r="W71" s="212">
        <v>18909.090909090908</v>
      </c>
      <c r="X71" s="170">
        <v>18909.090909090908</v>
      </c>
      <c r="Y71" s="170">
        <v>18909.090909090908</v>
      </c>
      <c r="Z71" s="170">
        <v>18909.090909090908</v>
      </c>
      <c r="AA71" s="170">
        <v>18909.090909090908</v>
      </c>
      <c r="AB71" s="170">
        <v>18909.090909090908</v>
      </c>
      <c r="AC71" s="170">
        <v>18909.090909090908</v>
      </c>
      <c r="AD71" s="170">
        <v>18909.090909090908</v>
      </c>
      <c r="AE71" s="213">
        <v>18909.090909090908</v>
      </c>
      <c r="AF71" s="212">
        <v>9454.545454545454</v>
      </c>
      <c r="AG71" s="170">
        <v>9454.545454545454</v>
      </c>
      <c r="AH71" s="170">
        <v>9454.545454545454</v>
      </c>
      <c r="AI71" s="170">
        <v>9454.545454545454</v>
      </c>
      <c r="AJ71" s="170">
        <v>9454.545454545454</v>
      </c>
      <c r="AK71" s="170">
        <v>9454.545454545454</v>
      </c>
      <c r="AL71" s="170">
        <v>9454.545454545454</v>
      </c>
      <c r="AM71" s="170">
        <v>9454.545454545454</v>
      </c>
      <c r="AN71" s="170">
        <v>9454.545454545454</v>
      </c>
      <c r="AO71" s="213">
        <v>85090.909090909088</v>
      </c>
      <c r="AP71" s="219"/>
      <c r="AQ71" s="220">
        <v>76000</v>
      </c>
      <c r="AR71" s="220" t="s">
        <v>332</v>
      </c>
      <c r="AS71" s="210"/>
      <c r="AT71" s="210"/>
      <c r="AU71" s="210"/>
      <c r="AV71" s="210"/>
      <c r="AW71" s="221">
        <v>9090.9090909090901</v>
      </c>
      <c r="AX71" s="222"/>
    </row>
    <row r="72" spans="1:50" ht="26.1" customHeight="1" x14ac:dyDescent="0.25">
      <c r="A72" s="205" t="s">
        <v>357</v>
      </c>
      <c r="B72" s="423" t="s">
        <v>2</v>
      </c>
      <c r="C72" s="424" t="s">
        <v>403</v>
      </c>
      <c r="D72" s="77" t="s">
        <v>401</v>
      </c>
      <c r="E72" s="312" t="s">
        <v>68</v>
      </c>
      <c r="F72" s="68" t="s">
        <v>349</v>
      </c>
      <c r="G72" s="335" t="s">
        <v>323</v>
      </c>
      <c r="H72" s="336">
        <v>0</v>
      </c>
      <c r="I72" s="337">
        <v>0</v>
      </c>
      <c r="J72" s="272">
        <v>0</v>
      </c>
      <c r="K72" s="272">
        <v>0</v>
      </c>
      <c r="L72" s="272">
        <v>0</v>
      </c>
      <c r="M72" s="272">
        <v>0</v>
      </c>
      <c r="N72" s="272">
        <v>0</v>
      </c>
      <c r="O72" s="272">
        <v>0</v>
      </c>
      <c r="P72" s="272">
        <v>0</v>
      </c>
      <c r="Q72" s="272">
        <v>0</v>
      </c>
      <c r="R72" s="213">
        <v>0</v>
      </c>
      <c r="S72" s="338"/>
      <c r="T72" s="255"/>
      <c r="U72" s="255"/>
      <c r="V72" s="336"/>
      <c r="W72" s="337">
        <v>78500</v>
      </c>
      <c r="X72" s="272">
        <v>60000</v>
      </c>
      <c r="Y72" s="272">
        <v>0</v>
      </c>
      <c r="Z72" s="272">
        <v>0</v>
      </c>
      <c r="AA72" s="272">
        <v>0</v>
      </c>
      <c r="AB72" s="272">
        <v>0</v>
      </c>
      <c r="AC72" s="272">
        <v>0</v>
      </c>
      <c r="AD72" s="272">
        <v>0</v>
      </c>
      <c r="AE72" s="339">
        <v>0</v>
      </c>
      <c r="AF72" s="217">
        <v>78500</v>
      </c>
      <c r="AG72" s="170">
        <v>60000</v>
      </c>
      <c r="AH72" s="170">
        <v>0</v>
      </c>
      <c r="AI72" s="170">
        <v>0</v>
      </c>
      <c r="AJ72" s="170">
        <v>0</v>
      </c>
      <c r="AK72" s="170">
        <v>0</v>
      </c>
      <c r="AL72" s="170">
        <v>0</v>
      </c>
      <c r="AM72" s="170">
        <v>0</v>
      </c>
      <c r="AN72" s="170">
        <v>0</v>
      </c>
      <c r="AO72" s="218">
        <v>138500</v>
      </c>
      <c r="AP72" s="338"/>
      <c r="AQ72" s="220">
        <v>138500</v>
      </c>
      <c r="AR72" s="255" t="s">
        <v>485</v>
      </c>
      <c r="AS72" s="255"/>
      <c r="AT72" s="255"/>
      <c r="AU72" s="255"/>
      <c r="AV72" s="255"/>
      <c r="AW72" s="221">
        <v>0</v>
      </c>
      <c r="AX72" s="333"/>
    </row>
    <row r="73" spans="1:50" ht="26.1" customHeight="1" x14ac:dyDescent="0.25">
      <c r="A73" s="205" t="s">
        <v>357</v>
      </c>
      <c r="B73" s="47" t="s">
        <v>4</v>
      </c>
      <c r="C73" s="48" t="s">
        <v>406</v>
      </c>
      <c r="D73" s="48" t="s">
        <v>63</v>
      </c>
      <c r="E73" s="204" t="s">
        <v>69</v>
      </c>
      <c r="F73" s="68" t="s">
        <v>349</v>
      </c>
      <c r="G73" s="48" t="s">
        <v>313</v>
      </c>
      <c r="H73" s="241">
        <v>0</v>
      </c>
      <c r="I73" s="212">
        <v>1636.3636363636363</v>
      </c>
      <c r="J73" s="170">
        <v>1636.3636363636363</v>
      </c>
      <c r="K73" s="170">
        <v>1636.3636363636363</v>
      </c>
      <c r="L73" s="170">
        <v>1636.3636363636363</v>
      </c>
      <c r="M73" s="170">
        <v>1636.3636363636363</v>
      </c>
      <c r="N73" s="170">
        <v>1636.3636363636363</v>
      </c>
      <c r="O73" s="170">
        <v>1636.3636363636363</v>
      </c>
      <c r="P73" s="170">
        <v>1636.3636363636363</v>
      </c>
      <c r="Q73" s="170">
        <v>1636.3636363636363</v>
      </c>
      <c r="R73" s="213">
        <v>14727.272727272728</v>
      </c>
      <c r="S73" s="242">
        <v>1</v>
      </c>
      <c r="T73" s="48"/>
      <c r="U73" s="48"/>
      <c r="V73" s="243"/>
      <c r="W73" s="212">
        <v>3272.7272727272725</v>
      </c>
      <c r="X73" s="170">
        <v>3272.7272727272725</v>
      </c>
      <c r="Y73" s="170">
        <v>3272.7272727272725</v>
      </c>
      <c r="Z73" s="170">
        <v>3272.7272727272725</v>
      </c>
      <c r="AA73" s="170">
        <v>3272.7272727272725</v>
      </c>
      <c r="AB73" s="170">
        <v>3272.7272727272725</v>
      </c>
      <c r="AC73" s="170">
        <v>3272.7272727272725</v>
      </c>
      <c r="AD73" s="170">
        <v>3272.7272727272725</v>
      </c>
      <c r="AE73" s="213">
        <v>3272.7272727272725</v>
      </c>
      <c r="AF73" s="212">
        <v>1636.3636363636363</v>
      </c>
      <c r="AG73" s="170">
        <v>1636.3636363636363</v>
      </c>
      <c r="AH73" s="170">
        <v>1636.3636363636363</v>
      </c>
      <c r="AI73" s="170">
        <v>1636.3636363636363</v>
      </c>
      <c r="AJ73" s="170">
        <v>1636.3636363636363</v>
      </c>
      <c r="AK73" s="170">
        <v>1636.3636363636363</v>
      </c>
      <c r="AL73" s="170">
        <v>1636.3636363636363</v>
      </c>
      <c r="AM73" s="170">
        <v>1636.3636363636363</v>
      </c>
      <c r="AN73" s="170">
        <v>1636.3636363636363</v>
      </c>
      <c r="AO73" s="213">
        <v>14727.272727272728</v>
      </c>
      <c r="AP73" s="219"/>
      <c r="AQ73" s="220">
        <v>14000</v>
      </c>
      <c r="AR73" s="220" t="s">
        <v>332</v>
      </c>
      <c r="AS73" s="210"/>
      <c r="AT73" s="210"/>
      <c r="AU73" s="210"/>
      <c r="AV73" s="210"/>
      <c r="AW73" s="221">
        <v>727.27272727272725</v>
      </c>
      <c r="AX73" s="222"/>
    </row>
    <row r="74" spans="1:50" ht="26.1" customHeight="1" x14ac:dyDescent="0.25">
      <c r="A74" s="144" t="s">
        <v>357</v>
      </c>
      <c r="B74" s="59" t="s">
        <v>1</v>
      </c>
      <c r="C74" s="145"/>
      <c r="D74" s="60"/>
      <c r="E74" s="143" t="s">
        <v>70</v>
      </c>
      <c r="F74" s="154" t="s">
        <v>357</v>
      </c>
      <c r="G74" s="155"/>
      <c r="H74" s="156">
        <v>0</v>
      </c>
      <c r="I74" s="157">
        <v>0</v>
      </c>
      <c r="J74" s="152">
        <v>0</v>
      </c>
      <c r="K74" s="152">
        <v>0</v>
      </c>
      <c r="L74" s="152">
        <v>0</v>
      </c>
      <c r="M74" s="152">
        <v>0</v>
      </c>
      <c r="N74" s="152">
        <v>0</v>
      </c>
      <c r="O74" s="152">
        <v>0</v>
      </c>
      <c r="P74" s="152">
        <v>0</v>
      </c>
      <c r="Q74" s="152">
        <v>0</v>
      </c>
      <c r="R74" s="156">
        <v>0</v>
      </c>
      <c r="S74" s="157">
        <f>+R75*S75</f>
        <v>0</v>
      </c>
      <c r="T74" s="152"/>
      <c r="U74" s="152">
        <f>+R75*U75</f>
        <v>0</v>
      </c>
      <c r="V74" s="159"/>
      <c r="W74" s="157">
        <v>6000</v>
      </c>
      <c r="X74" s="152">
        <v>6000</v>
      </c>
      <c r="Y74" s="152">
        <v>6000</v>
      </c>
      <c r="Z74" s="152">
        <v>0</v>
      </c>
      <c r="AA74" s="152">
        <v>0</v>
      </c>
      <c r="AB74" s="152">
        <v>0</v>
      </c>
      <c r="AC74" s="152">
        <v>0</v>
      </c>
      <c r="AD74" s="152">
        <v>0</v>
      </c>
      <c r="AE74" s="156">
        <v>0</v>
      </c>
      <c r="AF74" s="157">
        <v>6000</v>
      </c>
      <c r="AG74" s="152">
        <v>6000</v>
      </c>
      <c r="AH74" s="152">
        <v>6000</v>
      </c>
      <c r="AI74" s="152">
        <v>0</v>
      </c>
      <c r="AJ74" s="152">
        <v>0</v>
      </c>
      <c r="AK74" s="152">
        <v>0</v>
      </c>
      <c r="AL74" s="152">
        <v>0</v>
      </c>
      <c r="AM74" s="152">
        <v>0</v>
      </c>
      <c r="AN74" s="152">
        <v>0</v>
      </c>
      <c r="AO74" s="156">
        <v>18000</v>
      </c>
      <c r="AP74" s="158"/>
      <c r="AQ74" s="160">
        <v>18000</v>
      </c>
      <c r="AR74" s="145"/>
      <c r="AS74" s="145"/>
      <c r="AT74" s="145"/>
      <c r="AU74" s="145"/>
      <c r="AV74" s="145"/>
      <c r="AW74" s="161">
        <v>0</v>
      </c>
      <c r="AX74" s="151"/>
    </row>
    <row r="75" spans="1:50" ht="26.1" customHeight="1" x14ac:dyDescent="0.25">
      <c r="A75" s="205" t="s">
        <v>357</v>
      </c>
      <c r="B75" s="423" t="s">
        <v>2</v>
      </c>
      <c r="C75" s="424" t="s">
        <v>403</v>
      </c>
      <c r="D75" s="77" t="s">
        <v>400</v>
      </c>
      <c r="E75" s="312" t="s">
        <v>71</v>
      </c>
      <c r="F75" s="68" t="s">
        <v>349</v>
      </c>
      <c r="G75" s="335" t="s">
        <v>323</v>
      </c>
      <c r="H75" s="336">
        <v>0</v>
      </c>
      <c r="I75" s="337">
        <v>0</v>
      </c>
      <c r="J75" s="272">
        <v>0</v>
      </c>
      <c r="K75" s="272">
        <v>0</v>
      </c>
      <c r="L75" s="272">
        <v>0</v>
      </c>
      <c r="M75" s="272">
        <v>0</v>
      </c>
      <c r="N75" s="272">
        <v>0</v>
      </c>
      <c r="O75" s="272">
        <v>0</v>
      </c>
      <c r="P75" s="272">
        <v>0</v>
      </c>
      <c r="Q75" s="272">
        <v>0</v>
      </c>
      <c r="R75" s="213">
        <v>0</v>
      </c>
      <c r="S75" s="338"/>
      <c r="T75" s="255"/>
      <c r="U75" s="255"/>
      <c r="V75" s="336"/>
      <c r="W75" s="337">
        <v>6000</v>
      </c>
      <c r="X75" s="340">
        <v>6000</v>
      </c>
      <c r="Y75" s="340">
        <v>6000</v>
      </c>
      <c r="Z75" s="272">
        <v>0</v>
      </c>
      <c r="AA75" s="272">
        <v>0</v>
      </c>
      <c r="AB75" s="272">
        <v>0</v>
      </c>
      <c r="AC75" s="272">
        <v>0</v>
      </c>
      <c r="AD75" s="272">
        <v>0</v>
      </c>
      <c r="AE75" s="339">
        <v>0</v>
      </c>
      <c r="AF75" s="217">
        <v>6000</v>
      </c>
      <c r="AG75" s="170">
        <v>6000</v>
      </c>
      <c r="AH75" s="170">
        <v>6000</v>
      </c>
      <c r="AI75" s="170">
        <v>0</v>
      </c>
      <c r="AJ75" s="170">
        <v>0</v>
      </c>
      <c r="AK75" s="170">
        <v>0</v>
      </c>
      <c r="AL75" s="170">
        <v>0</v>
      </c>
      <c r="AM75" s="170">
        <v>0</v>
      </c>
      <c r="AN75" s="170">
        <v>0</v>
      </c>
      <c r="AO75" s="218">
        <v>18000</v>
      </c>
      <c r="AP75" s="338"/>
      <c r="AQ75" s="220">
        <v>18000</v>
      </c>
      <c r="AR75" s="255" t="s">
        <v>351</v>
      </c>
      <c r="AS75" s="255"/>
      <c r="AT75" s="255"/>
      <c r="AU75" s="255"/>
      <c r="AV75" s="255"/>
      <c r="AW75" s="221">
        <v>0</v>
      </c>
      <c r="AX75" s="333"/>
    </row>
    <row r="76" spans="1:50" ht="26.1" customHeight="1" x14ac:dyDescent="0.25">
      <c r="A76" s="144" t="s">
        <v>356</v>
      </c>
      <c r="B76" s="59" t="s">
        <v>2</v>
      </c>
      <c r="C76" s="145"/>
      <c r="D76" s="60"/>
      <c r="E76" s="143" t="s">
        <v>72</v>
      </c>
      <c r="F76" s="154" t="s">
        <v>356</v>
      </c>
      <c r="G76" s="155"/>
      <c r="H76" s="156">
        <v>0</v>
      </c>
      <c r="I76" s="157">
        <v>0</v>
      </c>
      <c r="J76" s="152">
        <v>0</v>
      </c>
      <c r="K76" s="152">
        <v>0</v>
      </c>
      <c r="L76" s="152">
        <v>0</v>
      </c>
      <c r="M76" s="152">
        <v>0</v>
      </c>
      <c r="N76" s="152">
        <v>0</v>
      </c>
      <c r="O76" s="152">
        <v>0</v>
      </c>
      <c r="P76" s="152">
        <v>0</v>
      </c>
      <c r="Q76" s="152">
        <v>0</v>
      </c>
      <c r="R76" s="156">
        <v>0</v>
      </c>
      <c r="S76" s="157">
        <f>+R77*S77</f>
        <v>0</v>
      </c>
      <c r="T76" s="152"/>
      <c r="U76" s="152">
        <f>+R77*U77</f>
        <v>0</v>
      </c>
      <c r="V76" s="159"/>
      <c r="W76" s="157">
        <v>1000</v>
      </c>
      <c r="X76" s="152">
        <v>1000</v>
      </c>
      <c r="Y76" s="152">
        <v>1000</v>
      </c>
      <c r="Z76" s="152">
        <v>1000</v>
      </c>
      <c r="AA76" s="152">
        <v>1000</v>
      </c>
      <c r="AB76" s="152">
        <v>1000</v>
      </c>
      <c r="AC76" s="152">
        <v>1000</v>
      </c>
      <c r="AD76" s="152">
        <v>1000</v>
      </c>
      <c r="AE76" s="156">
        <v>1000</v>
      </c>
      <c r="AF76" s="157">
        <v>1000</v>
      </c>
      <c r="AG76" s="152">
        <v>1000</v>
      </c>
      <c r="AH76" s="152">
        <v>1000</v>
      </c>
      <c r="AI76" s="152">
        <v>1000</v>
      </c>
      <c r="AJ76" s="152">
        <v>1000</v>
      </c>
      <c r="AK76" s="152">
        <v>1000</v>
      </c>
      <c r="AL76" s="152">
        <v>1000</v>
      </c>
      <c r="AM76" s="152">
        <v>1000</v>
      </c>
      <c r="AN76" s="152">
        <v>1000</v>
      </c>
      <c r="AO76" s="156">
        <v>9000</v>
      </c>
      <c r="AP76" s="158"/>
      <c r="AQ76" s="160">
        <v>0</v>
      </c>
      <c r="AR76" s="145"/>
      <c r="AS76" s="145"/>
      <c r="AT76" s="145"/>
      <c r="AU76" s="145"/>
      <c r="AV76" s="145"/>
      <c r="AW76" s="161">
        <v>9000</v>
      </c>
      <c r="AX76" s="151"/>
    </row>
    <row r="77" spans="1:50" ht="26.1" customHeight="1" x14ac:dyDescent="0.25">
      <c r="A77" s="205" t="s">
        <v>356</v>
      </c>
      <c r="B77" s="47" t="s">
        <v>2</v>
      </c>
      <c r="C77" s="48" t="s">
        <v>403</v>
      </c>
      <c r="D77" s="48" t="s">
        <v>393</v>
      </c>
      <c r="E77" s="204" t="s">
        <v>73</v>
      </c>
      <c r="F77" s="68" t="s">
        <v>321</v>
      </c>
      <c r="G77" s="48" t="s">
        <v>313</v>
      </c>
      <c r="H77" s="241">
        <v>0</v>
      </c>
      <c r="I77" s="212">
        <v>0</v>
      </c>
      <c r="J77" s="170">
        <v>0</v>
      </c>
      <c r="K77" s="170">
        <v>0</v>
      </c>
      <c r="L77" s="170">
        <v>0</v>
      </c>
      <c r="M77" s="170">
        <v>0</v>
      </c>
      <c r="N77" s="170">
        <v>0</v>
      </c>
      <c r="O77" s="170">
        <v>0</v>
      </c>
      <c r="P77" s="170">
        <v>0</v>
      </c>
      <c r="Q77" s="170">
        <v>0</v>
      </c>
      <c r="R77" s="213">
        <v>0</v>
      </c>
      <c r="S77" s="245"/>
      <c r="T77" s="48"/>
      <c r="U77" s="48"/>
      <c r="V77" s="243"/>
      <c r="W77" s="212">
        <v>1000</v>
      </c>
      <c r="X77" s="170">
        <v>1000</v>
      </c>
      <c r="Y77" s="170">
        <v>1000</v>
      </c>
      <c r="Z77" s="170">
        <v>1000</v>
      </c>
      <c r="AA77" s="170">
        <v>1000</v>
      </c>
      <c r="AB77" s="170">
        <v>1000</v>
      </c>
      <c r="AC77" s="170">
        <v>1000</v>
      </c>
      <c r="AD77" s="170">
        <v>1000</v>
      </c>
      <c r="AE77" s="213">
        <v>1000</v>
      </c>
      <c r="AF77" s="217">
        <v>1000</v>
      </c>
      <c r="AG77" s="170">
        <v>1000</v>
      </c>
      <c r="AH77" s="170">
        <v>1000</v>
      </c>
      <c r="AI77" s="170">
        <v>1000</v>
      </c>
      <c r="AJ77" s="170">
        <v>1000</v>
      </c>
      <c r="AK77" s="170">
        <v>1000</v>
      </c>
      <c r="AL77" s="170">
        <v>1000</v>
      </c>
      <c r="AM77" s="170">
        <v>1000</v>
      </c>
      <c r="AN77" s="170">
        <v>1000</v>
      </c>
      <c r="AO77" s="218">
        <v>9000</v>
      </c>
      <c r="AP77" s="219"/>
      <c r="AQ77" s="220"/>
      <c r="AR77" s="220"/>
      <c r="AS77" s="210"/>
      <c r="AT77" s="210"/>
      <c r="AU77" s="210"/>
      <c r="AV77" s="210"/>
      <c r="AW77" s="221">
        <v>9000</v>
      </c>
      <c r="AX77" s="222"/>
    </row>
    <row r="78" spans="1:50" ht="26.1" customHeight="1" x14ac:dyDescent="0.25">
      <c r="A78" s="144" t="s">
        <v>356</v>
      </c>
      <c r="B78" s="59" t="s">
        <v>491</v>
      </c>
      <c r="C78" s="145"/>
      <c r="D78" s="60"/>
      <c r="E78" s="143" t="s">
        <v>74</v>
      </c>
      <c r="F78" s="154" t="s">
        <v>356</v>
      </c>
      <c r="G78" s="155"/>
      <c r="H78" s="156">
        <v>7636.363636363636</v>
      </c>
      <c r="I78" s="157">
        <v>236636.36363636365</v>
      </c>
      <c r="J78" s="152">
        <v>239909.09090909091</v>
      </c>
      <c r="K78" s="152">
        <v>183303.03030303033</v>
      </c>
      <c r="L78" s="152">
        <v>129969.6969696969</v>
      </c>
      <c r="M78" s="152">
        <v>75000</v>
      </c>
      <c r="N78" s="152">
        <v>76636.363636363632</v>
      </c>
      <c r="O78" s="152">
        <v>75000</v>
      </c>
      <c r="P78" s="152">
        <v>76636.363636363632</v>
      </c>
      <c r="Q78" s="152">
        <v>75000</v>
      </c>
      <c r="R78" s="156">
        <v>1168090.9090909092</v>
      </c>
      <c r="S78" s="157">
        <f>+R79*S79+R80*S80+R81*S81</f>
        <v>165244.71744471745</v>
      </c>
      <c r="T78" s="145"/>
      <c r="U78" s="161">
        <f>+R79*U79+R80*U80+R81*U81</f>
        <v>1002846.1916461916</v>
      </c>
      <c r="V78" s="159"/>
      <c r="W78" s="157">
        <f>SUM(W79:W81)</f>
        <v>746781.81818181823</v>
      </c>
      <c r="X78" s="152">
        <f t="shared" ref="X78:AE78" si="2">SUM(X79:X81)</f>
        <v>969727.27272727271</v>
      </c>
      <c r="Y78" s="152">
        <f t="shared" si="2"/>
        <v>461066.66666666669</v>
      </c>
      <c r="Z78" s="152">
        <f t="shared" si="2"/>
        <v>213060.60606060599</v>
      </c>
      <c r="AA78" s="152">
        <f t="shared" si="2"/>
        <v>75000</v>
      </c>
      <c r="AB78" s="152">
        <f t="shared" si="2"/>
        <v>95727.272727272735</v>
      </c>
      <c r="AC78" s="152">
        <f t="shared" si="2"/>
        <v>95727.272727272735</v>
      </c>
      <c r="AD78" s="152">
        <f t="shared" si="2"/>
        <v>95727.272727272735</v>
      </c>
      <c r="AE78" s="156">
        <f t="shared" si="2"/>
        <v>95727.272727272735</v>
      </c>
      <c r="AF78" s="157">
        <v>510145.45454545453</v>
      </c>
      <c r="AG78" s="152">
        <v>729818.18181818177</v>
      </c>
      <c r="AH78" s="152">
        <v>277763.63636363635</v>
      </c>
      <c r="AI78" s="152">
        <v>83090.909090909088</v>
      </c>
      <c r="AJ78" s="152">
        <v>0</v>
      </c>
      <c r="AK78" s="152">
        <v>19090.909090909092</v>
      </c>
      <c r="AL78" s="152">
        <v>20727.272727272728</v>
      </c>
      <c r="AM78" s="152">
        <v>19090.909090909092</v>
      </c>
      <c r="AN78" s="152">
        <v>20727.272727272728</v>
      </c>
      <c r="AO78" s="156">
        <v>1680454.5454545454</v>
      </c>
      <c r="AP78" s="158"/>
      <c r="AQ78" s="160">
        <v>1340000</v>
      </c>
      <c r="AR78" s="145"/>
      <c r="AS78" s="145"/>
      <c r="AT78" s="145"/>
      <c r="AU78" s="145"/>
      <c r="AV78" s="145"/>
      <c r="AW78" s="161">
        <v>340454.54545454547</v>
      </c>
      <c r="AX78" s="151"/>
    </row>
    <row r="79" spans="1:50" ht="26.1" customHeight="1" x14ac:dyDescent="0.25">
      <c r="A79" s="205" t="s">
        <v>356</v>
      </c>
      <c r="B79" s="47" t="s">
        <v>6</v>
      </c>
      <c r="C79" s="335" t="s">
        <v>431</v>
      </c>
      <c r="D79" s="48" t="s">
        <v>76</v>
      </c>
      <c r="E79" s="204" t="s">
        <v>75</v>
      </c>
      <c r="F79" s="257" t="s">
        <v>423</v>
      </c>
      <c r="G79" s="48" t="s">
        <v>323</v>
      </c>
      <c r="H79" s="211">
        <v>0</v>
      </c>
      <c r="I79" s="212">
        <v>235000</v>
      </c>
      <c r="J79" s="170">
        <v>235000</v>
      </c>
      <c r="K79" s="170">
        <v>181666.66666666672</v>
      </c>
      <c r="L79" s="170">
        <v>128333.33333333327</v>
      </c>
      <c r="M79" s="170">
        <v>75000</v>
      </c>
      <c r="N79" s="170">
        <v>75000</v>
      </c>
      <c r="O79" s="170">
        <v>75000</v>
      </c>
      <c r="P79" s="170">
        <v>75000</v>
      </c>
      <c r="Q79" s="170">
        <v>75000</v>
      </c>
      <c r="R79" s="213">
        <v>1155000</v>
      </c>
      <c r="S79" s="330">
        <f>75000/555000</f>
        <v>0.13513513513513514</v>
      </c>
      <c r="T79" s="48" t="s">
        <v>424</v>
      </c>
      <c r="U79" s="341">
        <f>480000/555000</f>
        <v>0.86486486486486491</v>
      </c>
      <c r="V79" s="216" t="s">
        <v>425</v>
      </c>
      <c r="W79" s="212">
        <v>565600</v>
      </c>
      <c r="X79" s="170">
        <v>786000</v>
      </c>
      <c r="Y79" s="170">
        <v>402066.66666666669</v>
      </c>
      <c r="Z79" s="170">
        <v>128333.33333333327</v>
      </c>
      <c r="AA79" s="170">
        <v>75000</v>
      </c>
      <c r="AB79" s="170">
        <v>75000</v>
      </c>
      <c r="AC79" s="170">
        <v>75000</v>
      </c>
      <c r="AD79" s="170">
        <v>75000</v>
      </c>
      <c r="AE79" s="213">
        <v>75000</v>
      </c>
      <c r="AF79" s="217">
        <v>330600</v>
      </c>
      <c r="AG79" s="170">
        <v>551000</v>
      </c>
      <c r="AH79" s="170">
        <v>220400</v>
      </c>
      <c r="AI79" s="170">
        <v>0</v>
      </c>
      <c r="AJ79" s="170">
        <v>0</v>
      </c>
      <c r="AK79" s="170">
        <v>0</v>
      </c>
      <c r="AL79" s="170">
        <v>0</v>
      </c>
      <c r="AM79" s="170">
        <v>0</v>
      </c>
      <c r="AN79" s="170">
        <v>0</v>
      </c>
      <c r="AO79" s="218">
        <v>1102000</v>
      </c>
      <c r="AP79" s="219"/>
      <c r="AQ79" s="220">
        <v>1102000</v>
      </c>
      <c r="AR79" s="220" t="s">
        <v>426</v>
      </c>
      <c r="AS79" s="210"/>
      <c r="AT79" s="210"/>
      <c r="AU79" s="210"/>
      <c r="AV79" s="210"/>
      <c r="AW79" s="221">
        <v>0</v>
      </c>
      <c r="AX79" s="222"/>
    </row>
    <row r="80" spans="1:50" ht="26.1" customHeight="1" x14ac:dyDescent="0.25">
      <c r="A80" s="205"/>
      <c r="B80" s="47" t="s">
        <v>289</v>
      </c>
      <c r="C80" s="335" t="s">
        <v>432</v>
      </c>
      <c r="D80" s="48" t="s">
        <v>427</v>
      </c>
      <c r="E80" s="204" t="s">
        <v>433</v>
      </c>
      <c r="F80" s="257" t="s">
        <v>423</v>
      </c>
      <c r="G80" s="48" t="s">
        <v>323</v>
      </c>
      <c r="H80" s="211">
        <v>0</v>
      </c>
      <c r="I80" s="212">
        <v>0</v>
      </c>
      <c r="J80" s="170">
        <v>0</v>
      </c>
      <c r="K80" s="170">
        <v>0</v>
      </c>
      <c r="L80" s="170">
        <v>0</v>
      </c>
      <c r="M80" s="170">
        <v>0</v>
      </c>
      <c r="N80" s="170">
        <v>0</v>
      </c>
      <c r="O80" s="170">
        <v>0</v>
      </c>
      <c r="P80" s="170">
        <v>0</v>
      </c>
      <c r="Q80" s="170">
        <v>0</v>
      </c>
      <c r="R80" s="213">
        <v>0</v>
      </c>
      <c r="S80" s="330">
        <f>75000/555000</f>
        <v>0.13513513513513514</v>
      </c>
      <c r="T80" s="48" t="s">
        <v>424</v>
      </c>
      <c r="U80" s="341">
        <f>480000/555000</f>
        <v>0.86486486486486491</v>
      </c>
      <c r="V80" s="216" t="s">
        <v>429</v>
      </c>
      <c r="W80" s="212">
        <v>119000</v>
      </c>
      <c r="X80" s="170">
        <v>119000</v>
      </c>
      <c r="Y80" s="170">
        <v>0</v>
      </c>
      <c r="Z80" s="170">
        <v>0</v>
      </c>
      <c r="AA80" s="170">
        <v>0</v>
      </c>
      <c r="AB80" s="170">
        <v>0</v>
      </c>
      <c r="AC80" s="170">
        <v>0</v>
      </c>
      <c r="AD80" s="170">
        <v>0</v>
      </c>
      <c r="AE80" s="213">
        <v>0</v>
      </c>
      <c r="AF80" s="217">
        <v>119000</v>
      </c>
      <c r="AG80" s="170">
        <v>119000</v>
      </c>
      <c r="AH80" s="170">
        <v>0</v>
      </c>
      <c r="AI80" s="170">
        <v>0</v>
      </c>
      <c r="AJ80" s="170">
        <v>0</v>
      </c>
      <c r="AK80" s="170">
        <v>0</v>
      </c>
      <c r="AL80" s="170">
        <v>0</v>
      </c>
      <c r="AM80" s="170">
        <v>0</v>
      </c>
      <c r="AN80" s="170">
        <v>0</v>
      </c>
      <c r="AO80" s="218">
        <v>238000</v>
      </c>
      <c r="AP80" s="219"/>
      <c r="AQ80" s="220">
        <v>238000</v>
      </c>
      <c r="AR80" s="220" t="s">
        <v>430</v>
      </c>
      <c r="AS80" s="210"/>
      <c r="AT80" s="210"/>
      <c r="AU80" s="210"/>
      <c r="AV80" s="210"/>
      <c r="AW80" s="221">
        <v>0</v>
      </c>
      <c r="AX80" s="222"/>
    </row>
    <row r="81" spans="1:50" ht="26.1" customHeight="1" x14ac:dyDescent="0.25">
      <c r="A81" s="205" t="s">
        <v>357</v>
      </c>
      <c r="B81" s="47" t="s">
        <v>4</v>
      </c>
      <c r="C81" s="48" t="s">
        <v>404</v>
      </c>
      <c r="D81" s="48" t="s">
        <v>394</v>
      </c>
      <c r="E81" s="204" t="s">
        <v>77</v>
      </c>
      <c r="F81" s="68" t="s">
        <v>349</v>
      </c>
      <c r="G81" s="48" t="s">
        <v>313</v>
      </c>
      <c r="H81" s="269">
        <v>7636.363636363636</v>
      </c>
      <c r="I81" s="212">
        <v>1636.3636363636363</v>
      </c>
      <c r="J81" s="170">
        <v>4909.090909090909</v>
      </c>
      <c r="K81" s="170">
        <v>1636.3636363636363</v>
      </c>
      <c r="L81" s="170">
        <v>1636.3636363636363</v>
      </c>
      <c r="M81" s="170">
        <v>0</v>
      </c>
      <c r="N81" s="170">
        <v>1636.3636363636363</v>
      </c>
      <c r="O81" s="170">
        <v>0</v>
      </c>
      <c r="P81" s="170">
        <v>1636.3636363636363</v>
      </c>
      <c r="Q81" s="170">
        <v>0</v>
      </c>
      <c r="R81" s="213">
        <v>13090.90909090909</v>
      </c>
      <c r="S81" s="270">
        <v>0.7</v>
      </c>
      <c r="T81" s="48"/>
      <c r="U81" s="215">
        <v>0.3</v>
      </c>
      <c r="V81" s="243" t="s">
        <v>386</v>
      </c>
      <c r="W81" s="212">
        <v>62181.818181818184</v>
      </c>
      <c r="X81" s="170">
        <v>64727.272727272728</v>
      </c>
      <c r="Y81" s="170">
        <v>59000</v>
      </c>
      <c r="Z81" s="170">
        <v>84727.272727272721</v>
      </c>
      <c r="AA81" s="170">
        <v>0</v>
      </c>
      <c r="AB81" s="170">
        <v>20727.272727272728</v>
      </c>
      <c r="AC81" s="170">
        <v>20727.272727272728</v>
      </c>
      <c r="AD81" s="170">
        <v>20727.272727272728</v>
      </c>
      <c r="AE81" s="213">
        <v>20727.272727272728</v>
      </c>
      <c r="AF81" s="212">
        <v>60545.454545454544</v>
      </c>
      <c r="AG81" s="170">
        <v>59818.181818181816</v>
      </c>
      <c r="AH81" s="170">
        <v>57363.63636363636</v>
      </c>
      <c r="AI81" s="170">
        <v>83090.909090909088</v>
      </c>
      <c r="AJ81" s="170">
        <v>0</v>
      </c>
      <c r="AK81" s="170">
        <v>19090.909090909092</v>
      </c>
      <c r="AL81" s="170">
        <v>20727.272727272728</v>
      </c>
      <c r="AM81" s="170">
        <v>19090.909090909092</v>
      </c>
      <c r="AN81" s="170">
        <v>20727.272727272728</v>
      </c>
      <c r="AO81" s="213">
        <v>340454.54545454547</v>
      </c>
      <c r="AP81" s="219"/>
      <c r="AQ81" s="220"/>
      <c r="AR81" s="220"/>
      <c r="AS81" s="210"/>
      <c r="AT81" s="210"/>
      <c r="AU81" s="210"/>
      <c r="AV81" s="210"/>
      <c r="AW81" s="221">
        <v>340454.54545454547</v>
      </c>
      <c r="AX81" s="222"/>
    </row>
    <row r="82" spans="1:50" ht="26.1" customHeight="1" x14ac:dyDescent="0.25">
      <c r="A82" s="144" t="s">
        <v>356</v>
      </c>
      <c r="B82" s="59" t="s">
        <v>2</v>
      </c>
      <c r="C82" s="145"/>
      <c r="D82" s="60"/>
      <c r="E82" s="143" t="s">
        <v>78</v>
      </c>
      <c r="F82" s="154" t="s">
        <v>356</v>
      </c>
      <c r="G82" s="155"/>
      <c r="H82" s="156">
        <v>0</v>
      </c>
      <c r="I82" s="157">
        <v>0</v>
      </c>
      <c r="J82" s="152">
        <v>0</v>
      </c>
      <c r="K82" s="152">
        <v>0</v>
      </c>
      <c r="L82" s="152">
        <v>0</v>
      </c>
      <c r="M82" s="152">
        <v>0</v>
      </c>
      <c r="N82" s="152">
        <v>0</v>
      </c>
      <c r="O82" s="152">
        <v>0</v>
      </c>
      <c r="P82" s="152">
        <v>0</v>
      </c>
      <c r="Q82" s="152">
        <v>0</v>
      </c>
      <c r="R82" s="156">
        <v>0</v>
      </c>
      <c r="S82" s="157">
        <f>+R83*S83+R84*S84</f>
        <v>0</v>
      </c>
      <c r="T82" s="152"/>
      <c r="U82" s="152">
        <f>+R83*U83+R84*U84</f>
        <v>0</v>
      </c>
      <c r="V82" s="159"/>
      <c r="W82" s="157">
        <v>12000</v>
      </c>
      <c r="X82" s="152">
        <v>12000</v>
      </c>
      <c r="Y82" s="152">
        <v>12000</v>
      </c>
      <c r="Z82" s="152">
        <v>12000</v>
      </c>
      <c r="AA82" s="152">
        <v>12000</v>
      </c>
      <c r="AB82" s="152">
        <v>12000</v>
      </c>
      <c r="AC82" s="152">
        <v>12000</v>
      </c>
      <c r="AD82" s="152">
        <v>12000</v>
      </c>
      <c r="AE82" s="156">
        <v>12000</v>
      </c>
      <c r="AF82" s="157">
        <v>12000</v>
      </c>
      <c r="AG82" s="152">
        <v>12000</v>
      </c>
      <c r="AH82" s="152">
        <v>12000</v>
      </c>
      <c r="AI82" s="152">
        <v>12000</v>
      </c>
      <c r="AJ82" s="152">
        <v>12000</v>
      </c>
      <c r="AK82" s="152">
        <v>12000</v>
      </c>
      <c r="AL82" s="152">
        <v>12000</v>
      </c>
      <c r="AM82" s="152">
        <v>12000</v>
      </c>
      <c r="AN82" s="152">
        <v>12000</v>
      </c>
      <c r="AO82" s="156">
        <v>108000</v>
      </c>
      <c r="AP82" s="158"/>
      <c r="AQ82" s="160">
        <v>84000</v>
      </c>
      <c r="AR82" s="145"/>
      <c r="AS82" s="145"/>
      <c r="AT82" s="145"/>
      <c r="AU82" s="145"/>
      <c r="AV82" s="145"/>
      <c r="AW82" s="161">
        <v>24000</v>
      </c>
      <c r="AX82" s="151"/>
    </row>
    <row r="83" spans="1:50" ht="26.1" customHeight="1" x14ac:dyDescent="0.25">
      <c r="A83" s="205" t="s">
        <v>356</v>
      </c>
      <c r="B83" s="47" t="s">
        <v>2</v>
      </c>
      <c r="C83" s="48" t="s">
        <v>403</v>
      </c>
      <c r="D83" s="48" t="s">
        <v>393</v>
      </c>
      <c r="E83" s="204" t="s">
        <v>79</v>
      </c>
      <c r="F83" s="257" t="s">
        <v>321</v>
      </c>
      <c r="G83" s="48" t="s">
        <v>313</v>
      </c>
      <c r="H83" s="241">
        <v>0</v>
      </c>
      <c r="I83" s="212">
        <v>0</v>
      </c>
      <c r="J83" s="170">
        <v>0</v>
      </c>
      <c r="K83" s="170">
        <v>0</v>
      </c>
      <c r="L83" s="170">
        <v>0</v>
      </c>
      <c r="M83" s="170">
        <v>0</v>
      </c>
      <c r="N83" s="170">
        <v>0</v>
      </c>
      <c r="O83" s="170">
        <v>0</v>
      </c>
      <c r="P83" s="170">
        <v>0</v>
      </c>
      <c r="Q83" s="170">
        <v>0</v>
      </c>
      <c r="R83" s="213">
        <v>0</v>
      </c>
      <c r="S83" s="245"/>
      <c r="T83" s="48"/>
      <c r="U83" s="48"/>
      <c r="V83" s="243"/>
      <c r="W83" s="212">
        <v>6000</v>
      </c>
      <c r="X83" s="170">
        <v>6000</v>
      </c>
      <c r="Y83" s="170">
        <v>6000</v>
      </c>
      <c r="Z83" s="170">
        <v>6000</v>
      </c>
      <c r="AA83" s="170">
        <v>6000</v>
      </c>
      <c r="AB83" s="170">
        <v>6000</v>
      </c>
      <c r="AC83" s="170">
        <v>6000</v>
      </c>
      <c r="AD83" s="170">
        <v>6000</v>
      </c>
      <c r="AE83" s="213">
        <v>6000</v>
      </c>
      <c r="AF83" s="217">
        <v>6000</v>
      </c>
      <c r="AG83" s="170">
        <v>6000</v>
      </c>
      <c r="AH83" s="170">
        <v>6000</v>
      </c>
      <c r="AI83" s="170">
        <v>6000</v>
      </c>
      <c r="AJ83" s="170">
        <v>6000</v>
      </c>
      <c r="AK83" s="170">
        <v>6000</v>
      </c>
      <c r="AL83" s="170">
        <v>6000</v>
      </c>
      <c r="AM83" s="170">
        <v>6000</v>
      </c>
      <c r="AN83" s="170">
        <v>6000</v>
      </c>
      <c r="AO83" s="218">
        <v>54000</v>
      </c>
      <c r="AP83" s="219"/>
      <c r="AQ83" s="220">
        <v>52000</v>
      </c>
      <c r="AR83" s="220"/>
      <c r="AS83" s="210"/>
      <c r="AT83" s="210"/>
      <c r="AU83" s="210"/>
      <c r="AV83" s="210"/>
      <c r="AW83" s="221">
        <v>2000</v>
      </c>
      <c r="AX83" s="222"/>
    </row>
    <row r="84" spans="1:50" ht="26.1" customHeight="1" x14ac:dyDescent="0.25">
      <c r="A84" s="205" t="s">
        <v>357</v>
      </c>
      <c r="B84" s="47" t="s">
        <v>2</v>
      </c>
      <c r="C84" s="48" t="s">
        <v>403</v>
      </c>
      <c r="D84" s="48" t="s">
        <v>393</v>
      </c>
      <c r="E84" s="204" t="s">
        <v>80</v>
      </c>
      <c r="F84" s="68" t="s">
        <v>349</v>
      </c>
      <c r="G84" s="48" t="s">
        <v>313</v>
      </c>
      <c r="H84" s="241">
        <v>0</v>
      </c>
      <c r="I84" s="212">
        <v>0</v>
      </c>
      <c r="J84" s="170">
        <v>0</v>
      </c>
      <c r="K84" s="170">
        <v>0</v>
      </c>
      <c r="L84" s="170">
        <v>0</v>
      </c>
      <c r="M84" s="170">
        <v>0</v>
      </c>
      <c r="N84" s="170">
        <v>0</v>
      </c>
      <c r="O84" s="170">
        <v>0</v>
      </c>
      <c r="P84" s="170">
        <v>0</v>
      </c>
      <c r="Q84" s="170">
        <v>0</v>
      </c>
      <c r="R84" s="213">
        <v>0</v>
      </c>
      <c r="S84" s="245"/>
      <c r="T84" s="48"/>
      <c r="U84" s="48"/>
      <c r="V84" s="243"/>
      <c r="W84" s="212">
        <v>6000</v>
      </c>
      <c r="X84" s="170">
        <v>6000</v>
      </c>
      <c r="Y84" s="170">
        <v>6000</v>
      </c>
      <c r="Z84" s="170">
        <v>6000</v>
      </c>
      <c r="AA84" s="170">
        <v>6000</v>
      </c>
      <c r="AB84" s="170">
        <v>6000</v>
      </c>
      <c r="AC84" s="170">
        <v>6000</v>
      </c>
      <c r="AD84" s="170">
        <v>6000</v>
      </c>
      <c r="AE84" s="213">
        <v>6000</v>
      </c>
      <c r="AF84" s="217">
        <v>6000</v>
      </c>
      <c r="AG84" s="170">
        <v>6000</v>
      </c>
      <c r="AH84" s="170">
        <v>6000</v>
      </c>
      <c r="AI84" s="170">
        <v>6000</v>
      </c>
      <c r="AJ84" s="170">
        <v>6000</v>
      </c>
      <c r="AK84" s="170">
        <v>6000</v>
      </c>
      <c r="AL84" s="170">
        <v>6000</v>
      </c>
      <c r="AM84" s="170">
        <v>6000</v>
      </c>
      <c r="AN84" s="170">
        <v>6000</v>
      </c>
      <c r="AO84" s="218">
        <v>54000</v>
      </c>
      <c r="AP84" s="219"/>
      <c r="AQ84" s="220">
        <v>32000</v>
      </c>
      <c r="AR84" s="220" t="s">
        <v>469</v>
      </c>
      <c r="AS84" s="210"/>
      <c r="AT84" s="210"/>
      <c r="AU84" s="210"/>
      <c r="AV84" s="210"/>
      <c r="AW84" s="221">
        <v>22000</v>
      </c>
      <c r="AX84" s="222"/>
    </row>
    <row r="85" spans="1:50" ht="26.1" customHeight="1" x14ac:dyDescent="0.25">
      <c r="A85" s="144" t="s">
        <v>357</v>
      </c>
      <c r="B85" s="59" t="s">
        <v>2</v>
      </c>
      <c r="C85" s="145"/>
      <c r="D85" s="60"/>
      <c r="E85" s="143" t="s">
        <v>82</v>
      </c>
      <c r="F85" s="154" t="s">
        <v>357</v>
      </c>
      <c r="G85" s="155"/>
      <c r="H85" s="156">
        <v>0</v>
      </c>
      <c r="I85" s="157">
        <v>0</v>
      </c>
      <c r="J85" s="152">
        <v>0</v>
      </c>
      <c r="K85" s="152">
        <v>0</v>
      </c>
      <c r="L85" s="152">
        <v>0</v>
      </c>
      <c r="M85" s="152">
        <v>0</v>
      </c>
      <c r="N85" s="152">
        <v>0</v>
      </c>
      <c r="O85" s="152">
        <v>0</v>
      </c>
      <c r="P85" s="152">
        <v>0</v>
      </c>
      <c r="Q85" s="152">
        <v>0</v>
      </c>
      <c r="R85" s="156">
        <v>0</v>
      </c>
      <c r="S85" s="157">
        <f>+R86*S86</f>
        <v>0</v>
      </c>
      <c r="T85" s="152"/>
      <c r="U85" s="152">
        <f>+R86*U86</f>
        <v>0</v>
      </c>
      <c r="V85" s="159"/>
      <c r="W85" s="157">
        <v>45000</v>
      </c>
      <c r="X85" s="152">
        <v>0</v>
      </c>
      <c r="Y85" s="152">
        <v>0</v>
      </c>
      <c r="Z85" s="152">
        <v>0</v>
      </c>
      <c r="AA85" s="152">
        <v>0</v>
      </c>
      <c r="AB85" s="152">
        <v>0</v>
      </c>
      <c r="AC85" s="152">
        <v>0</v>
      </c>
      <c r="AD85" s="152">
        <v>0</v>
      </c>
      <c r="AE85" s="156">
        <v>0</v>
      </c>
      <c r="AF85" s="157">
        <v>45000</v>
      </c>
      <c r="AG85" s="152">
        <v>0</v>
      </c>
      <c r="AH85" s="152">
        <v>0</v>
      </c>
      <c r="AI85" s="152">
        <v>0</v>
      </c>
      <c r="AJ85" s="152">
        <v>0</v>
      </c>
      <c r="AK85" s="152">
        <v>0</v>
      </c>
      <c r="AL85" s="152">
        <v>0</v>
      </c>
      <c r="AM85" s="152">
        <v>0</v>
      </c>
      <c r="AN85" s="152">
        <v>0</v>
      </c>
      <c r="AO85" s="156">
        <v>45000</v>
      </c>
      <c r="AP85" s="158"/>
      <c r="AQ85" s="160">
        <v>45000</v>
      </c>
      <c r="AR85" s="145"/>
      <c r="AS85" s="145"/>
      <c r="AT85" s="145"/>
      <c r="AU85" s="145"/>
      <c r="AV85" s="145"/>
      <c r="AW85" s="161">
        <v>0</v>
      </c>
      <c r="AX85" s="151"/>
    </row>
    <row r="86" spans="1:50" ht="26.1" customHeight="1" x14ac:dyDescent="0.25">
      <c r="A86" s="205" t="s">
        <v>357</v>
      </c>
      <c r="B86" s="47" t="s">
        <v>2</v>
      </c>
      <c r="C86" s="48" t="s">
        <v>403</v>
      </c>
      <c r="D86" s="48" t="s">
        <v>393</v>
      </c>
      <c r="E86" s="204" t="s">
        <v>83</v>
      </c>
      <c r="F86" s="68" t="s">
        <v>349</v>
      </c>
      <c r="G86" s="48" t="s">
        <v>313</v>
      </c>
      <c r="H86" s="241">
        <v>0</v>
      </c>
      <c r="I86" s="212">
        <v>0</v>
      </c>
      <c r="J86" s="170">
        <v>0</v>
      </c>
      <c r="K86" s="170">
        <v>0</v>
      </c>
      <c r="L86" s="170">
        <v>0</v>
      </c>
      <c r="M86" s="170">
        <v>0</v>
      </c>
      <c r="N86" s="170">
        <v>0</v>
      </c>
      <c r="O86" s="170">
        <v>0</v>
      </c>
      <c r="P86" s="170">
        <v>0</v>
      </c>
      <c r="Q86" s="170">
        <v>0</v>
      </c>
      <c r="R86" s="213">
        <v>0</v>
      </c>
      <c r="S86" s="245"/>
      <c r="T86" s="48"/>
      <c r="U86" s="48"/>
      <c r="V86" s="243"/>
      <c r="W86" s="212">
        <v>45000</v>
      </c>
      <c r="X86" s="170">
        <v>0</v>
      </c>
      <c r="Y86" s="170">
        <v>0</v>
      </c>
      <c r="Z86" s="170">
        <v>0</v>
      </c>
      <c r="AA86" s="170">
        <v>0</v>
      </c>
      <c r="AB86" s="170">
        <v>0</v>
      </c>
      <c r="AC86" s="170">
        <v>0</v>
      </c>
      <c r="AD86" s="170">
        <v>0</v>
      </c>
      <c r="AE86" s="213">
        <v>0</v>
      </c>
      <c r="AF86" s="217">
        <v>45000</v>
      </c>
      <c r="AG86" s="170">
        <v>0</v>
      </c>
      <c r="AH86" s="170">
        <v>0</v>
      </c>
      <c r="AI86" s="170">
        <v>0</v>
      </c>
      <c r="AJ86" s="170">
        <v>0</v>
      </c>
      <c r="AK86" s="170">
        <v>0</v>
      </c>
      <c r="AL86" s="170">
        <v>0</v>
      </c>
      <c r="AM86" s="170">
        <v>0</v>
      </c>
      <c r="AN86" s="170">
        <v>0</v>
      </c>
      <c r="AO86" s="218">
        <v>45000</v>
      </c>
      <c r="AP86" s="219"/>
      <c r="AQ86" s="220">
        <v>45000</v>
      </c>
      <c r="AR86" s="220" t="s">
        <v>345</v>
      </c>
      <c r="AS86" s="210"/>
      <c r="AT86" s="210"/>
      <c r="AU86" s="210"/>
      <c r="AV86" s="210"/>
      <c r="AW86" s="221">
        <v>0</v>
      </c>
      <c r="AX86" s="222"/>
    </row>
    <row r="87" spans="1:50" ht="26.1" customHeight="1" x14ac:dyDescent="0.25">
      <c r="A87" s="144" t="s">
        <v>356</v>
      </c>
      <c r="B87" s="59" t="s">
        <v>490</v>
      </c>
      <c r="C87" s="145"/>
      <c r="D87" s="60"/>
      <c r="E87" s="143" t="s">
        <v>84</v>
      </c>
      <c r="F87" s="154" t="s">
        <v>356</v>
      </c>
      <c r="G87" s="155"/>
      <c r="H87" s="156">
        <v>40000</v>
      </c>
      <c r="I87" s="157">
        <v>40000</v>
      </c>
      <c r="J87" s="152">
        <v>40000</v>
      </c>
      <c r="K87" s="152">
        <v>40000</v>
      </c>
      <c r="L87" s="152">
        <v>40000</v>
      </c>
      <c r="M87" s="152">
        <v>40000</v>
      </c>
      <c r="N87" s="152">
        <v>40000</v>
      </c>
      <c r="O87" s="152">
        <v>40000</v>
      </c>
      <c r="P87" s="152">
        <v>40000</v>
      </c>
      <c r="Q87" s="152">
        <v>40000</v>
      </c>
      <c r="R87" s="156">
        <v>360000</v>
      </c>
      <c r="S87" s="157">
        <f>+R88*S88+R89*S89+R90*S90</f>
        <v>360000</v>
      </c>
      <c r="T87" s="145"/>
      <c r="U87" s="161">
        <f>+R88*U88+R89*U89+R90*U90</f>
        <v>0</v>
      </c>
      <c r="V87" s="159"/>
      <c r="W87" s="157">
        <v>75454.545454545456</v>
      </c>
      <c r="X87" s="152">
        <v>97272.727272727279</v>
      </c>
      <c r="Y87" s="152">
        <v>100000</v>
      </c>
      <c r="Z87" s="152">
        <v>99090.909090909088</v>
      </c>
      <c r="AA87" s="152">
        <v>44545.454545454544</v>
      </c>
      <c r="AB87" s="152">
        <v>44545.454545454544</v>
      </c>
      <c r="AC87" s="152">
        <v>44545.454545454544</v>
      </c>
      <c r="AD87" s="152">
        <v>99090.909090909088</v>
      </c>
      <c r="AE87" s="156">
        <v>44545.454545454544</v>
      </c>
      <c r="AF87" s="157">
        <v>35454.545454545456</v>
      </c>
      <c r="AG87" s="152">
        <v>57272.727272727272</v>
      </c>
      <c r="AH87" s="152">
        <v>60000</v>
      </c>
      <c r="AI87" s="152">
        <v>59090.909090909088</v>
      </c>
      <c r="AJ87" s="152">
        <v>4545.454545454545</v>
      </c>
      <c r="AK87" s="152">
        <v>4545.454545454545</v>
      </c>
      <c r="AL87" s="152">
        <v>4545.454545454545</v>
      </c>
      <c r="AM87" s="152">
        <v>59090.909090909088</v>
      </c>
      <c r="AN87" s="152">
        <v>4545.454545454545</v>
      </c>
      <c r="AO87" s="156">
        <v>289090.90909090912</v>
      </c>
      <c r="AP87" s="158"/>
      <c r="AQ87" s="160">
        <v>270000</v>
      </c>
      <c r="AR87" s="145"/>
      <c r="AS87" s="145"/>
      <c r="AT87" s="145"/>
      <c r="AU87" s="145"/>
      <c r="AV87" s="145"/>
      <c r="AW87" s="152">
        <v>19090.909090909092</v>
      </c>
      <c r="AX87" s="151"/>
    </row>
    <row r="88" spans="1:50" ht="26.1" customHeight="1" x14ac:dyDescent="0.25">
      <c r="A88" s="205" t="s">
        <v>356</v>
      </c>
      <c r="B88" s="47" t="s">
        <v>4</v>
      </c>
      <c r="C88" s="48" t="s">
        <v>404</v>
      </c>
      <c r="D88" s="48" t="s">
        <v>394</v>
      </c>
      <c r="E88" s="204" t="s">
        <v>470</v>
      </c>
      <c r="F88" s="68" t="s">
        <v>321</v>
      </c>
      <c r="G88" s="48" t="s">
        <v>313</v>
      </c>
      <c r="H88" s="269">
        <v>40000</v>
      </c>
      <c r="I88" s="212">
        <v>40000</v>
      </c>
      <c r="J88" s="170">
        <v>40000</v>
      </c>
      <c r="K88" s="170">
        <v>40000</v>
      </c>
      <c r="L88" s="170">
        <v>40000</v>
      </c>
      <c r="M88" s="170">
        <v>40000</v>
      </c>
      <c r="N88" s="170">
        <v>40000</v>
      </c>
      <c r="O88" s="170">
        <v>40000</v>
      </c>
      <c r="P88" s="170">
        <v>40000</v>
      </c>
      <c r="Q88" s="170">
        <v>40000</v>
      </c>
      <c r="R88" s="213">
        <v>360000</v>
      </c>
      <c r="S88" s="242">
        <v>1</v>
      </c>
      <c r="T88" s="48"/>
      <c r="U88" s="48"/>
      <c r="V88" s="243"/>
      <c r="W88" s="212">
        <v>45454.545454545456</v>
      </c>
      <c r="X88" s="170">
        <v>57272.727272727272</v>
      </c>
      <c r="Y88" s="170">
        <v>60000</v>
      </c>
      <c r="Z88" s="170">
        <v>89090.909090909088</v>
      </c>
      <c r="AA88" s="170">
        <v>34545.454545454544</v>
      </c>
      <c r="AB88" s="170">
        <v>34545.454545454544</v>
      </c>
      <c r="AC88" s="170">
        <v>34545.454545454544</v>
      </c>
      <c r="AD88" s="170">
        <v>89090.909090909088</v>
      </c>
      <c r="AE88" s="213">
        <v>34545.454545454544</v>
      </c>
      <c r="AF88" s="212">
        <v>5454.545454545455</v>
      </c>
      <c r="AG88" s="170">
        <v>17272.727272727272</v>
      </c>
      <c r="AH88" s="170">
        <v>20000</v>
      </c>
      <c r="AI88" s="170">
        <v>49090.909090909088</v>
      </c>
      <c r="AJ88" s="170">
        <v>-5454.545454545455</v>
      </c>
      <c r="AK88" s="170">
        <v>-5454.545454545455</v>
      </c>
      <c r="AL88" s="170">
        <v>-5454.545454545455</v>
      </c>
      <c r="AM88" s="170">
        <v>49090.909090909088</v>
      </c>
      <c r="AN88" s="170">
        <v>-5454.545454545455</v>
      </c>
      <c r="AO88" s="213">
        <v>119090.90909090909</v>
      </c>
      <c r="AP88" s="219"/>
      <c r="AQ88" s="220"/>
      <c r="AR88" s="220"/>
      <c r="AS88" s="210"/>
      <c r="AT88" s="210"/>
      <c r="AU88" s="210"/>
      <c r="AV88" s="210"/>
      <c r="AW88" s="221">
        <v>119090.90909090909</v>
      </c>
      <c r="AX88" s="222"/>
    </row>
    <row r="89" spans="1:50" ht="26.1" customHeight="1" x14ac:dyDescent="0.25">
      <c r="A89" s="205" t="s">
        <v>357</v>
      </c>
      <c r="B89" s="47" t="s">
        <v>1</v>
      </c>
      <c r="C89" s="50" t="s">
        <v>658</v>
      </c>
      <c r="D89" s="48" t="s">
        <v>87</v>
      </c>
      <c r="E89" s="312" t="s">
        <v>86</v>
      </c>
      <c r="F89" s="68" t="s">
        <v>349</v>
      </c>
      <c r="G89" s="335" t="s">
        <v>323</v>
      </c>
      <c r="H89" s="336">
        <v>0</v>
      </c>
      <c r="I89" s="212">
        <v>0</v>
      </c>
      <c r="J89" s="170">
        <v>0</v>
      </c>
      <c r="K89" s="170">
        <v>0</v>
      </c>
      <c r="L89" s="170">
        <v>0</v>
      </c>
      <c r="M89" s="170">
        <v>0</v>
      </c>
      <c r="N89" s="170">
        <v>0</v>
      </c>
      <c r="O89" s="170">
        <v>0</v>
      </c>
      <c r="P89" s="170">
        <v>0</v>
      </c>
      <c r="Q89" s="170">
        <v>0</v>
      </c>
      <c r="R89" s="213">
        <v>0</v>
      </c>
      <c r="S89" s="338"/>
      <c r="T89" s="255"/>
      <c r="U89" s="255"/>
      <c r="V89" s="336"/>
      <c r="W89" s="337">
        <v>20000</v>
      </c>
      <c r="X89" s="272">
        <v>30000</v>
      </c>
      <c r="Y89" s="272">
        <v>30000</v>
      </c>
      <c r="Z89" s="272">
        <v>0</v>
      </c>
      <c r="AA89" s="272">
        <v>0</v>
      </c>
      <c r="AB89" s="272">
        <v>0</v>
      </c>
      <c r="AC89" s="272">
        <v>0</v>
      </c>
      <c r="AD89" s="272">
        <v>0</v>
      </c>
      <c r="AE89" s="339">
        <v>0</v>
      </c>
      <c r="AF89" s="217">
        <v>20000</v>
      </c>
      <c r="AG89" s="170">
        <v>30000</v>
      </c>
      <c r="AH89" s="170">
        <v>30000</v>
      </c>
      <c r="AI89" s="170">
        <v>0</v>
      </c>
      <c r="AJ89" s="170">
        <v>0</v>
      </c>
      <c r="AK89" s="170">
        <v>0</v>
      </c>
      <c r="AL89" s="170">
        <v>0</v>
      </c>
      <c r="AM89" s="170">
        <v>0</v>
      </c>
      <c r="AN89" s="170">
        <v>0</v>
      </c>
      <c r="AO89" s="218">
        <v>80000</v>
      </c>
      <c r="AP89" s="338"/>
      <c r="AQ89" s="220">
        <v>80000</v>
      </c>
      <c r="AR89" s="255"/>
      <c r="AS89" s="255"/>
      <c r="AT89" s="255"/>
      <c r="AU89" s="255"/>
      <c r="AV89" s="255"/>
      <c r="AW89" s="221">
        <v>0</v>
      </c>
      <c r="AX89" s="333"/>
    </row>
    <row r="90" spans="1:50" ht="26.1" customHeight="1" x14ac:dyDescent="0.25">
      <c r="A90" s="205" t="s">
        <v>356</v>
      </c>
      <c r="B90" s="47" t="s">
        <v>2</v>
      </c>
      <c r="C90" s="48" t="s">
        <v>403</v>
      </c>
      <c r="D90" s="48" t="s">
        <v>393</v>
      </c>
      <c r="E90" s="204" t="s">
        <v>88</v>
      </c>
      <c r="F90" s="68" t="s">
        <v>312</v>
      </c>
      <c r="G90" s="48" t="s">
        <v>323</v>
      </c>
      <c r="H90" s="241">
        <v>0</v>
      </c>
      <c r="I90" s="212">
        <v>0</v>
      </c>
      <c r="J90" s="170">
        <v>0</v>
      </c>
      <c r="K90" s="170">
        <v>0</v>
      </c>
      <c r="L90" s="170">
        <v>0</v>
      </c>
      <c r="M90" s="170">
        <v>0</v>
      </c>
      <c r="N90" s="170">
        <v>0</v>
      </c>
      <c r="O90" s="170">
        <v>0</v>
      </c>
      <c r="P90" s="170">
        <v>0</v>
      </c>
      <c r="Q90" s="170">
        <v>0</v>
      </c>
      <c r="R90" s="213">
        <v>0</v>
      </c>
      <c r="S90" s="245"/>
      <c r="T90" s="48"/>
      <c r="U90" s="48"/>
      <c r="V90" s="243"/>
      <c r="W90" s="212">
        <v>10000</v>
      </c>
      <c r="X90" s="170">
        <v>10000</v>
      </c>
      <c r="Y90" s="170">
        <v>10000</v>
      </c>
      <c r="Z90" s="170">
        <v>10000</v>
      </c>
      <c r="AA90" s="170">
        <v>10000</v>
      </c>
      <c r="AB90" s="170">
        <v>10000</v>
      </c>
      <c r="AC90" s="170">
        <v>10000</v>
      </c>
      <c r="AD90" s="170">
        <v>10000</v>
      </c>
      <c r="AE90" s="213">
        <v>10000</v>
      </c>
      <c r="AF90" s="217">
        <v>10000</v>
      </c>
      <c r="AG90" s="170">
        <v>10000</v>
      </c>
      <c r="AH90" s="170">
        <v>10000</v>
      </c>
      <c r="AI90" s="170">
        <v>10000</v>
      </c>
      <c r="AJ90" s="170">
        <v>10000</v>
      </c>
      <c r="AK90" s="170">
        <v>10000</v>
      </c>
      <c r="AL90" s="170">
        <v>10000</v>
      </c>
      <c r="AM90" s="170">
        <v>10000</v>
      </c>
      <c r="AN90" s="170">
        <v>10000</v>
      </c>
      <c r="AO90" s="218">
        <v>90000</v>
      </c>
      <c r="AP90" s="219"/>
      <c r="AQ90" s="220">
        <v>190000</v>
      </c>
      <c r="AR90" s="220" t="s">
        <v>347</v>
      </c>
      <c r="AS90" s="210"/>
      <c r="AT90" s="210"/>
      <c r="AU90" s="210"/>
      <c r="AV90" s="210"/>
      <c r="AW90" s="221">
        <v>-100000</v>
      </c>
      <c r="AX90" s="222"/>
    </row>
    <row r="91" spans="1:50" ht="26.1" customHeight="1" x14ac:dyDescent="0.25">
      <c r="A91" s="144" t="s">
        <v>356</v>
      </c>
      <c r="B91" s="59" t="s">
        <v>2</v>
      </c>
      <c r="C91" s="145"/>
      <c r="D91" s="60"/>
      <c r="E91" s="143" t="s">
        <v>89</v>
      </c>
      <c r="F91" s="154" t="s">
        <v>356</v>
      </c>
      <c r="G91" s="155"/>
      <c r="H91" s="156">
        <v>0</v>
      </c>
      <c r="I91" s="157">
        <v>0</v>
      </c>
      <c r="J91" s="152">
        <v>0</v>
      </c>
      <c r="K91" s="152">
        <v>0</v>
      </c>
      <c r="L91" s="152">
        <v>0</v>
      </c>
      <c r="M91" s="152">
        <v>0</v>
      </c>
      <c r="N91" s="152">
        <v>0</v>
      </c>
      <c r="O91" s="152">
        <v>0</v>
      </c>
      <c r="P91" s="152">
        <v>0</v>
      </c>
      <c r="Q91" s="152">
        <v>0</v>
      </c>
      <c r="R91" s="156">
        <v>0</v>
      </c>
      <c r="S91" s="157">
        <f>+R92*S92+R93*S93+R94*S94</f>
        <v>0</v>
      </c>
      <c r="T91" s="145"/>
      <c r="U91" s="161">
        <f>+R92*U92+R93*U93+R94*U94</f>
        <v>0</v>
      </c>
      <c r="V91" s="159"/>
      <c r="W91" s="157">
        <v>92600</v>
      </c>
      <c r="X91" s="152">
        <v>93952</v>
      </c>
      <c r="Y91" s="152">
        <v>95331.04</v>
      </c>
      <c r="Z91" s="152">
        <v>96737.660799999998</v>
      </c>
      <c r="AA91" s="152">
        <v>98172.414015999995</v>
      </c>
      <c r="AB91" s="152">
        <v>99635.862296320003</v>
      </c>
      <c r="AC91" s="152">
        <v>101128.5795422464</v>
      </c>
      <c r="AD91" s="152">
        <v>102651.15113309133</v>
      </c>
      <c r="AE91" s="156">
        <v>104204.17415575316</v>
      </c>
      <c r="AF91" s="157">
        <v>92600</v>
      </c>
      <c r="AG91" s="152">
        <v>93952</v>
      </c>
      <c r="AH91" s="152">
        <v>95331.04</v>
      </c>
      <c r="AI91" s="152">
        <v>96737.660799999998</v>
      </c>
      <c r="AJ91" s="152">
        <v>98172.414015999995</v>
      </c>
      <c r="AK91" s="152">
        <v>99635.862296320003</v>
      </c>
      <c r="AL91" s="152">
        <v>101128.5795422464</v>
      </c>
      <c r="AM91" s="152">
        <v>102651.15113309133</v>
      </c>
      <c r="AN91" s="152">
        <v>104204.17415575316</v>
      </c>
      <c r="AO91" s="156">
        <v>884412.88194341096</v>
      </c>
      <c r="AP91" s="158"/>
      <c r="AQ91" s="160">
        <v>238000</v>
      </c>
      <c r="AR91" s="145"/>
      <c r="AS91" s="145"/>
      <c r="AT91" s="145"/>
      <c r="AU91" s="145"/>
      <c r="AV91" s="145"/>
      <c r="AW91" s="152">
        <v>646412.88194341084</v>
      </c>
      <c r="AX91" s="151"/>
    </row>
    <row r="92" spans="1:50" ht="26.1" customHeight="1" x14ac:dyDescent="0.25">
      <c r="A92" s="205" t="s">
        <v>357</v>
      </c>
      <c r="B92" s="47" t="s">
        <v>2</v>
      </c>
      <c r="C92" s="48" t="s">
        <v>403</v>
      </c>
      <c r="D92" s="48" t="s">
        <v>393</v>
      </c>
      <c r="E92" s="204" t="s">
        <v>90</v>
      </c>
      <c r="F92" s="68" t="s">
        <v>349</v>
      </c>
      <c r="G92" s="48" t="s">
        <v>313</v>
      </c>
      <c r="H92" s="241">
        <v>0</v>
      </c>
      <c r="I92" s="212">
        <v>0</v>
      </c>
      <c r="J92" s="170">
        <v>0</v>
      </c>
      <c r="K92" s="170">
        <v>0</v>
      </c>
      <c r="L92" s="170">
        <v>0</v>
      </c>
      <c r="M92" s="170">
        <v>0</v>
      </c>
      <c r="N92" s="170">
        <v>0</v>
      </c>
      <c r="O92" s="170">
        <v>0</v>
      </c>
      <c r="P92" s="170">
        <v>0</v>
      </c>
      <c r="Q92" s="170">
        <v>0</v>
      </c>
      <c r="R92" s="213">
        <v>0</v>
      </c>
      <c r="S92" s="245"/>
      <c r="T92" s="48"/>
      <c r="U92" s="48"/>
      <c r="V92" s="243"/>
      <c r="W92" s="212">
        <v>1000</v>
      </c>
      <c r="X92" s="170">
        <v>1000</v>
      </c>
      <c r="Y92" s="170">
        <v>1000</v>
      </c>
      <c r="Z92" s="170">
        <v>1000</v>
      </c>
      <c r="AA92" s="170">
        <v>1000</v>
      </c>
      <c r="AB92" s="170">
        <v>1000</v>
      </c>
      <c r="AC92" s="170">
        <v>1000</v>
      </c>
      <c r="AD92" s="170">
        <v>1000</v>
      </c>
      <c r="AE92" s="213">
        <v>1000</v>
      </c>
      <c r="AF92" s="217">
        <v>1000</v>
      </c>
      <c r="AG92" s="170">
        <v>1000</v>
      </c>
      <c r="AH92" s="170">
        <v>1000</v>
      </c>
      <c r="AI92" s="170">
        <v>1000</v>
      </c>
      <c r="AJ92" s="170">
        <v>1000</v>
      </c>
      <c r="AK92" s="170">
        <v>1000</v>
      </c>
      <c r="AL92" s="170">
        <v>1000</v>
      </c>
      <c r="AM92" s="170">
        <v>1000</v>
      </c>
      <c r="AN92" s="170">
        <v>1000</v>
      </c>
      <c r="AO92" s="218">
        <v>9000</v>
      </c>
      <c r="AP92" s="219"/>
      <c r="AQ92" s="220"/>
      <c r="AR92" s="220"/>
      <c r="AS92" s="210"/>
      <c r="AT92" s="210"/>
      <c r="AU92" s="210"/>
      <c r="AV92" s="210"/>
      <c r="AW92" s="221">
        <v>9000</v>
      </c>
      <c r="AX92" s="222"/>
    </row>
    <row r="93" spans="1:50" ht="26.1" customHeight="1" x14ac:dyDescent="0.25">
      <c r="A93" s="205" t="s">
        <v>356</v>
      </c>
      <c r="B93" s="47" t="s">
        <v>2</v>
      </c>
      <c r="C93" s="48" t="s">
        <v>403</v>
      </c>
      <c r="D93" s="48" t="s">
        <v>393</v>
      </c>
      <c r="E93" s="204" t="s">
        <v>91</v>
      </c>
      <c r="F93" s="68" t="s">
        <v>321</v>
      </c>
      <c r="G93" s="48" t="s">
        <v>323</v>
      </c>
      <c r="H93" s="241">
        <v>0</v>
      </c>
      <c r="I93" s="212">
        <v>0</v>
      </c>
      <c r="J93" s="170">
        <v>0</v>
      </c>
      <c r="K93" s="170">
        <v>0</v>
      </c>
      <c r="L93" s="170">
        <v>0</v>
      </c>
      <c r="M93" s="170">
        <v>0</v>
      </c>
      <c r="N93" s="170">
        <v>0</v>
      </c>
      <c r="O93" s="170">
        <v>0</v>
      </c>
      <c r="P93" s="170">
        <v>0</v>
      </c>
      <c r="Q93" s="170">
        <v>0</v>
      </c>
      <c r="R93" s="213">
        <v>0</v>
      </c>
      <c r="S93" s="245"/>
      <c r="T93" s="48"/>
      <c r="U93" s="48"/>
      <c r="V93" s="243"/>
      <c r="W93" s="212">
        <v>67600</v>
      </c>
      <c r="X93" s="170">
        <v>68952</v>
      </c>
      <c r="Y93" s="170">
        <v>70331.039999999994</v>
      </c>
      <c r="Z93" s="170">
        <v>71737.660799999998</v>
      </c>
      <c r="AA93" s="170">
        <v>73172.414015999995</v>
      </c>
      <c r="AB93" s="170">
        <v>74635.862296320003</v>
      </c>
      <c r="AC93" s="170">
        <v>76128.5795422464</v>
      </c>
      <c r="AD93" s="170">
        <v>77651.151133091334</v>
      </c>
      <c r="AE93" s="213">
        <v>79204.174155753164</v>
      </c>
      <c r="AF93" s="217">
        <v>67600</v>
      </c>
      <c r="AG93" s="170">
        <v>68952</v>
      </c>
      <c r="AH93" s="170">
        <v>70331.039999999994</v>
      </c>
      <c r="AI93" s="170">
        <v>71737.660799999998</v>
      </c>
      <c r="AJ93" s="170">
        <v>73172.414015999995</v>
      </c>
      <c r="AK93" s="170">
        <v>74635.862296320003</v>
      </c>
      <c r="AL93" s="170">
        <v>76128.5795422464</v>
      </c>
      <c r="AM93" s="170">
        <v>77651.151133091334</v>
      </c>
      <c r="AN93" s="170">
        <v>79204.174155753164</v>
      </c>
      <c r="AO93" s="218">
        <v>659412.88194341084</v>
      </c>
      <c r="AP93" s="219"/>
      <c r="AQ93" s="220"/>
      <c r="AR93" s="220"/>
      <c r="AS93" s="210"/>
      <c r="AT93" s="210"/>
      <c r="AU93" s="210"/>
      <c r="AV93" s="210"/>
      <c r="AW93" s="221">
        <v>659412.88194341084</v>
      </c>
      <c r="AX93" s="222"/>
    </row>
    <row r="94" spans="1:50" ht="26.1" customHeight="1" x14ac:dyDescent="0.25">
      <c r="A94" s="205" t="s">
        <v>356</v>
      </c>
      <c r="B94" s="47" t="s">
        <v>2</v>
      </c>
      <c r="C94" s="48" t="s">
        <v>403</v>
      </c>
      <c r="D94" s="48" t="s">
        <v>393</v>
      </c>
      <c r="E94" s="204" t="s">
        <v>466</v>
      </c>
      <c r="F94" s="68" t="s">
        <v>321</v>
      </c>
      <c r="G94" s="48" t="s">
        <v>323</v>
      </c>
      <c r="H94" s="241">
        <v>0</v>
      </c>
      <c r="I94" s="212">
        <v>0</v>
      </c>
      <c r="J94" s="170">
        <v>0</v>
      </c>
      <c r="K94" s="170">
        <v>0</v>
      </c>
      <c r="L94" s="170">
        <v>0</v>
      </c>
      <c r="M94" s="170">
        <v>0</v>
      </c>
      <c r="N94" s="170">
        <v>0</v>
      </c>
      <c r="O94" s="170">
        <v>0</v>
      </c>
      <c r="P94" s="170">
        <v>0</v>
      </c>
      <c r="Q94" s="170">
        <v>0</v>
      </c>
      <c r="R94" s="213">
        <v>0</v>
      </c>
      <c r="S94" s="245"/>
      <c r="T94" s="48"/>
      <c r="U94" s="48"/>
      <c r="V94" s="243"/>
      <c r="W94" s="212">
        <v>24000</v>
      </c>
      <c r="X94" s="170">
        <v>24000</v>
      </c>
      <c r="Y94" s="170">
        <v>24000</v>
      </c>
      <c r="Z94" s="170">
        <v>24000</v>
      </c>
      <c r="AA94" s="170">
        <v>24000</v>
      </c>
      <c r="AB94" s="170">
        <v>24000</v>
      </c>
      <c r="AC94" s="170">
        <v>24000</v>
      </c>
      <c r="AD94" s="170">
        <v>24000</v>
      </c>
      <c r="AE94" s="213">
        <v>24000</v>
      </c>
      <c r="AF94" s="217">
        <v>24000</v>
      </c>
      <c r="AG94" s="170">
        <v>24000</v>
      </c>
      <c r="AH94" s="170">
        <v>24000</v>
      </c>
      <c r="AI94" s="170">
        <v>24000</v>
      </c>
      <c r="AJ94" s="170">
        <v>24000</v>
      </c>
      <c r="AK94" s="170">
        <v>24000</v>
      </c>
      <c r="AL94" s="170">
        <v>24000</v>
      </c>
      <c r="AM94" s="170">
        <v>24000</v>
      </c>
      <c r="AN94" s="170">
        <v>24000</v>
      </c>
      <c r="AO94" s="218">
        <v>216000</v>
      </c>
      <c r="AP94" s="219"/>
      <c r="AQ94" s="220">
        <v>238000</v>
      </c>
      <c r="AR94" s="220" t="s">
        <v>351</v>
      </c>
      <c r="AS94" s="210"/>
      <c r="AT94" s="210"/>
      <c r="AU94" s="210"/>
      <c r="AV94" s="210"/>
      <c r="AW94" s="221">
        <v>-22000</v>
      </c>
      <c r="AX94" s="222"/>
    </row>
    <row r="95" spans="1:50" ht="26.1" customHeight="1" x14ac:dyDescent="0.25">
      <c r="A95" s="144" t="s">
        <v>356</v>
      </c>
      <c r="B95" s="59" t="s">
        <v>2</v>
      </c>
      <c r="C95" s="145"/>
      <c r="D95" s="60"/>
      <c r="E95" s="143" t="s">
        <v>93</v>
      </c>
      <c r="F95" s="154" t="s">
        <v>356</v>
      </c>
      <c r="G95" s="155"/>
      <c r="H95" s="156">
        <v>50000</v>
      </c>
      <c r="I95" s="157">
        <v>0</v>
      </c>
      <c r="J95" s="152">
        <v>0</v>
      </c>
      <c r="K95" s="152">
        <v>0</v>
      </c>
      <c r="L95" s="152">
        <v>0</v>
      </c>
      <c r="M95" s="152">
        <v>0</v>
      </c>
      <c r="N95" s="152">
        <v>0</v>
      </c>
      <c r="O95" s="152">
        <v>0</v>
      </c>
      <c r="P95" s="152">
        <v>0</v>
      </c>
      <c r="Q95" s="152">
        <v>0</v>
      </c>
      <c r="R95" s="156">
        <v>0</v>
      </c>
      <c r="S95" s="157">
        <f>+R96*S96</f>
        <v>0</v>
      </c>
      <c r="T95" s="152"/>
      <c r="U95" s="152">
        <f>+R96*U96</f>
        <v>0</v>
      </c>
      <c r="V95" s="159"/>
      <c r="W95" s="157">
        <v>65000</v>
      </c>
      <c r="X95" s="152">
        <v>0</v>
      </c>
      <c r="Y95" s="152">
        <v>45000</v>
      </c>
      <c r="Z95" s="152">
        <v>0</v>
      </c>
      <c r="AA95" s="152">
        <v>45000</v>
      </c>
      <c r="AB95" s="152">
        <v>0</v>
      </c>
      <c r="AC95" s="152">
        <v>0</v>
      </c>
      <c r="AD95" s="152">
        <v>0</v>
      </c>
      <c r="AE95" s="156">
        <v>0</v>
      </c>
      <c r="AF95" s="157">
        <v>65000</v>
      </c>
      <c r="AG95" s="152">
        <v>0</v>
      </c>
      <c r="AH95" s="152">
        <v>45000</v>
      </c>
      <c r="AI95" s="152">
        <v>0</v>
      </c>
      <c r="AJ95" s="152">
        <v>45000</v>
      </c>
      <c r="AK95" s="152">
        <v>0</v>
      </c>
      <c r="AL95" s="152">
        <v>0</v>
      </c>
      <c r="AM95" s="152">
        <v>0</v>
      </c>
      <c r="AN95" s="152">
        <v>0</v>
      </c>
      <c r="AO95" s="156">
        <v>155000</v>
      </c>
      <c r="AP95" s="158"/>
      <c r="AQ95" s="160">
        <v>0</v>
      </c>
      <c r="AR95" s="145"/>
      <c r="AS95" s="145"/>
      <c r="AT95" s="145"/>
      <c r="AU95" s="145"/>
      <c r="AV95" s="145"/>
      <c r="AW95" s="161">
        <v>155000</v>
      </c>
      <c r="AX95" s="151"/>
    </row>
    <row r="96" spans="1:50" ht="26.1" customHeight="1" x14ac:dyDescent="0.25">
      <c r="A96" s="205" t="s">
        <v>356</v>
      </c>
      <c r="B96" s="47" t="s">
        <v>2</v>
      </c>
      <c r="C96" s="48" t="s">
        <v>403</v>
      </c>
      <c r="D96" s="48" t="s">
        <v>393</v>
      </c>
      <c r="E96" s="204" t="s">
        <v>94</v>
      </c>
      <c r="F96" s="68" t="s">
        <v>321</v>
      </c>
      <c r="G96" s="48" t="s">
        <v>313</v>
      </c>
      <c r="H96" s="269">
        <v>50000</v>
      </c>
      <c r="I96" s="212">
        <v>0</v>
      </c>
      <c r="J96" s="170">
        <v>0</v>
      </c>
      <c r="K96" s="170">
        <v>0</v>
      </c>
      <c r="L96" s="170">
        <v>0</v>
      </c>
      <c r="M96" s="170">
        <v>0</v>
      </c>
      <c r="N96" s="170">
        <v>0</v>
      </c>
      <c r="O96" s="170">
        <v>0</v>
      </c>
      <c r="P96" s="170">
        <v>0</v>
      </c>
      <c r="Q96" s="170">
        <v>0</v>
      </c>
      <c r="R96" s="213">
        <v>0</v>
      </c>
      <c r="S96" s="245"/>
      <c r="T96" s="48"/>
      <c r="U96" s="48"/>
      <c r="V96" s="243"/>
      <c r="W96" s="212">
        <v>65000</v>
      </c>
      <c r="X96" s="170">
        <v>0</v>
      </c>
      <c r="Y96" s="170">
        <v>45000</v>
      </c>
      <c r="Z96" s="170">
        <v>0</v>
      </c>
      <c r="AA96" s="170">
        <v>45000</v>
      </c>
      <c r="AB96" s="170">
        <v>0</v>
      </c>
      <c r="AC96" s="170">
        <v>0</v>
      </c>
      <c r="AD96" s="170">
        <v>0</v>
      </c>
      <c r="AE96" s="213">
        <v>0</v>
      </c>
      <c r="AF96" s="217">
        <v>65000</v>
      </c>
      <c r="AG96" s="170">
        <v>0</v>
      </c>
      <c r="AH96" s="170">
        <v>45000</v>
      </c>
      <c r="AI96" s="170">
        <v>0</v>
      </c>
      <c r="AJ96" s="170">
        <v>45000</v>
      </c>
      <c r="AK96" s="170">
        <v>0</v>
      </c>
      <c r="AL96" s="170">
        <v>0</v>
      </c>
      <c r="AM96" s="170">
        <v>0</v>
      </c>
      <c r="AN96" s="170">
        <v>0</v>
      </c>
      <c r="AO96" s="218">
        <v>155000</v>
      </c>
      <c r="AP96" s="219"/>
      <c r="AQ96" s="239"/>
      <c r="AR96" s="239"/>
      <c r="AS96" s="210"/>
      <c r="AT96" s="210"/>
      <c r="AU96" s="210"/>
      <c r="AV96" s="210"/>
      <c r="AW96" s="221">
        <v>155000</v>
      </c>
      <c r="AX96" s="222"/>
    </row>
    <row r="97" spans="1:50" ht="26.1" customHeight="1" x14ac:dyDescent="0.25">
      <c r="A97" s="144" t="s">
        <v>355</v>
      </c>
      <c r="B97" s="59" t="s">
        <v>2</v>
      </c>
      <c r="C97" s="145"/>
      <c r="D97" s="60"/>
      <c r="E97" s="143" t="s">
        <v>95</v>
      </c>
      <c r="F97" s="154" t="s">
        <v>355</v>
      </c>
      <c r="G97" s="155"/>
      <c r="H97" s="156">
        <v>0</v>
      </c>
      <c r="I97" s="157">
        <v>0</v>
      </c>
      <c r="J97" s="152">
        <v>0</v>
      </c>
      <c r="K97" s="152">
        <v>0</v>
      </c>
      <c r="L97" s="152">
        <v>0</v>
      </c>
      <c r="M97" s="152">
        <v>0</v>
      </c>
      <c r="N97" s="152">
        <v>0</v>
      </c>
      <c r="O97" s="152">
        <v>0</v>
      </c>
      <c r="P97" s="152">
        <v>0</v>
      </c>
      <c r="Q97" s="152">
        <v>0</v>
      </c>
      <c r="R97" s="156">
        <v>0</v>
      </c>
      <c r="S97" s="157">
        <f>+R98*S98</f>
        <v>0</v>
      </c>
      <c r="T97" s="152"/>
      <c r="U97" s="152">
        <f>+R98*U98</f>
        <v>0</v>
      </c>
      <c r="V97" s="159"/>
      <c r="W97" s="157">
        <v>37500</v>
      </c>
      <c r="X97" s="152">
        <v>0</v>
      </c>
      <c r="Y97" s="152">
        <v>0</v>
      </c>
      <c r="Z97" s="152">
        <v>0</v>
      </c>
      <c r="AA97" s="152">
        <v>0</v>
      </c>
      <c r="AB97" s="152">
        <v>0</v>
      </c>
      <c r="AC97" s="152">
        <v>0</v>
      </c>
      <c r="AD97" s="152">
        <v>0</v>
      </c>
      <c r="AE97" s="156">
        <v>0</v>
      </c>
      <c r="AF97" s="157">
        <v>37500</v>
      </c>
      <c r="AG97" s="152">
        <v>0</v>
      </c>
      <c r="AH97" s="152">
        <v>0</v>
      </c>
      <c r="AI97" s="152">
        <v>0</v>
      </c>
      <c r="AJ97" s="152">
        <v>0</v>
      </c>
      <c r="AK97" s="152">
        <v>0</v>
      </c>
      <c r="AL97" s="152">
        <v>0</v>
      </c>
      <c r="AM97" s="152">
        <v>0</v>
      </c>
      <c r="AN97" s="152">
        <v>0</v>
      </c>
      <c r="AO97" s="156">
        <v>37500</v>
      </c>
      <c r="AP97" s="158"/>
      <c r="AQ97" s="160">
        <v>0</v>
      </c>
      <c r="AR97" s="145"/>
      <c r="AS97" s="145"/>
      <c r="AT97" s="145"/>
      <c r="AU97" s="145"/>
      <c r="AV97" s="145"/>
      <c r="AW97" s="161">
        <v>37500</v>
      </c>
      <c r="AX97" s="151"/>
    </row>
    <row r="98" spans="1:50" ht="26.1" customHeight="1" x14ac:dyDescent="0.25">
      <c r="A98" s="205" t="s">
        <v>355</v>
      </c>
      <c r="B98" s="47" t="s">
        <v>2</v>
      </c>
      <c r="C98" s="48" t="s">
        <v>403</v>
      </c>
      <c r="D98" s="48" t="s">
        <v>393</v>
      </c>
      <c r="E98" s="204" t="s">
        <v>96</v>
      </c>
      <c r="F98" s="68" t="s">
        <v>312</v>
      </c>
      <c r="G98" s="48" t="s">
        <v>313</v>
      </c>
      <c r="H98" s="241">
        <v>0</v>
      </c>
      <c r="I98" s="212">
        <v>0</v>
      </c>
      <c r="J98" s="170">
        <v>0</v>
      </c>
      <c r="K98" s="170">
        <v>0</v>
      </c>
      <c r="L98" s="170">
        <v>0</v>
      </c>
      <c r="M98" s="170">
        <v>0</v>
      </c>
      <c r="N98" s="170">
        <v>0</v>
      </c>
      <c r="O98" s="170">
        <v>0</v>
      </c>
      <c r="P98" s="170">
        <v>0</v>
      </c>
      <c r="Q98" s="170">
        <v>0</v>
      </c>
      <c r="R98" s="213">
        <v>0</v>
      </c>
      <c r="S98" s="245"/>
      <c r="T98" s="48"/>
      <c r="U98" s="48"/>
      <c r="V98" s="243"/>
      <c r="W98" s="212">
        <v>37500</v>
      </c>
      <c r="X98" s="170">
        <v>0</v>
      </c>
      <c r="Y98" s="170">
        <v>0</v>
      </c>
      <c r="Z98" s="170">
        <v>0</v>
      </c>
      <c r="AA98" s="170">
        <v>0</v>
      </c>
      <c r="AB98" s="170">
        <v>0</v>
      </c>
      <c r="AC98" s="170">
        <v>0</v>
      </c>
      <c r="AD98" s="170">
        <v>0</v>
      </c>
      <c r="AE98" s="213">
        <v>0</v>
      </c>
      <c r="AF98" s="212">
        <v>37500</v>
      </c>
      <c r="AG98" s="170">
        <v>0</v>
      </c>
      <c r="AH98" s="170">
        <v>0</v>
      </c>
      <c r="AI98" s="170">
        <v>0</v>
      </c>
      <c r="AJ98" s="170">
        <v>0</v>
      </c>
      <c r="AK98" s="170">
        <v>0</v>
      </c>
      <c r="AL98" s="170">
        <v>0</v>
      </c>
      <c r="AM98" s="170">
        <v>0</v>
      </c>
      <c r="AN98" s="170">
        <v>0</v>
      </c>
      <c r="AO98" s="213">
        <v>37500</v>
      </c>
      <c r="AP98" s="219"/>
      <c r="AQ98" s="220"/>
      <c r="AR98" s="220"/>
      <c r="AS98" s="210"/>
      <c r="AT98" s="210"/>
      <c r="AU98" s="210"/>
      <c r="AV98" s="210"/>
      <c r="AW98" s="221">
        <v>37500</v>
      </c>
      <c r="AX98" s="222"/>
    </row>
    <row r="99" spans="1:50" ht="26.1" customHeight="1" x14ac:dyDescent="0.25">
      <c r="G99" s="350"/>
    </row>
    <row r="100" spans="1:50" ht="26.1" customHeight="1" x14ac:dyDescent="0.25">
      <c r="A100" s="351"/>
      <c r="G100" s="350"/>
      <c r="R100" s="351" t="s">
        <v>497</v>
      </c>
      <c r="S100" s="381">
        <f>+S4+S25+S36+S54+S65</f>
        <v>460633582.25597757</v>
      </c>
      <c r="U100" s="381">
        <f>+U4+U25+U36+U54+U65</f>
        <v>63412356.397397704</v>
      </c>
      <c r="AO100" s="381">
        <f>+AO4+AO25+AO36+AO54+AO65</f>
        <v>297027507.0012489</v>
      </c>
      <c r="AQ100" s="381">
        <f>+AQ4+AQ25+AQ36+AQ54+AQ65</f>
        <v>4713800</v>
      </c>
      <c r="AW100" s="381">
        <f>+AW4+AW25+AW36+AW54+AW65</f>
        <v>280191337.18728673</v>
      </c>
    </row>
    <row r="101" spans="1:50" ht="26.1" customHeight="1" thickBot="1" x14ac:dyDescent="0.3">
      <c r="A101" s="353"/>
      <c r="B101" s="354" t="s">
        <v>81</v>
      </c>
      <c r="C101" s="355"/>
      <c r="D101" s="356" t="s">
        <v>100</v>
      </c>
    </row>
    <row r="102" spans="1:50" ht="26.1" customHeight="1" x14ac:dyDescent="0.25">
      <c r="A102" s="205" t="s">
        <v>357</v>
      </c>
      <c r="B102" s="47" t="s">
        <v>1</v>
      </c>
      <c r="C102" s="255"/>
      <c r="D102" s="77" t="s">
        <v>415</v>
      </c>
      <c r="E102" s="565" t="s">
        <v>498</v>
      </c>
      <c r="I102" s="583" t="s">
        <v>276</v>
      </c>
      <c r="J102" s="584"/>
      <c r="K102" s="584"/>
      <c r="L102" s="584"/>
      <c r="M102" s="584"/>
      <c r="N102" s="584"/>
      <c r="O102" s="584"/>
      <c r="P102" s="584"/>
      <c r="Q102" s="584"/>
      <c r="R102" s="585"/>
      <c r="S102" s="584" t="s">
        <v>277</v>
      </c>
      <c r="T102" s="584"/>
      <c r="U102" s="584"/>
      <c r="V102" s="584"/>
      <c r="W102" s="583" t="s">
        <v>278</v>
      </c>
      <c r="X102" s="584"/>
      <c r="Y102" s="584"/>
      <c r="Z102" s="584"/>
      <c r="AA102" s="584"/>
      <c r="AB102" s="584"/>
      <c r="AC102" s="584"/>
      <c r="AD102" s="584"/>
      <c r="AE102" s="585"/>
      <c r="AF102" s="584" t="s">
        <v>279</v>
      </c>
      <c r="AG102" s="584"/>
      <c r="AH102" s="584"/>
      <c r="AI102" s="584"/>
      <c r="AJ102" s="584"/>
      <c r="AK102" s="584"/>
      <c r="AL102" s="584"/>
      <c r="AM102" s="584"/>
      <c r="AN102" s="584"/>
      <c r="AO102" s="584"/>
      <c r="AP102" s="583" t="s">
        <v>280</v>
      </c>
      <c r="AQ102" s="584"/>
      <c r="AR102" s="584"/>
      <c r="AS102" s="584"/>
      <c r="AT102" s="584"/>
      <c r="AU102" s="584"/>
      <c r="AV102" s="584"/>
      <c r="AW102" s="584"/>
      <c r="AX102" s="586"/>
    </row>
    <row r="103" spans="1:50" ht="24" customHeight="1" x14ac:dyDescent="0.25">
      <c r="E103" s="566"/>
      <c r="I103" s="114">
        <v>2017</v>
      </c>
      <c r="J103" s="115">
        <v>2018</v>
      </c>
      <c r="K103" s="115">
        <v>2019</v>
      </c>
      <c r="L103" s="115">
        <v>2020</v>
      </c>
      <c r="M103" s="115">
        <v>2021</v>
      </c>
      <c r="N103" s="115">
        <v>2022</v>
      </c>
      <c r="O103" s="115">
        <v>2023</v>
      </c>
      <c r="P103" s="115">
        <v>2024</v>
      </c>
      <c r="Q103" s="115">
        <v>2025</v>
      </c>
      <c r="R103" s="116" t="s">
        <v>292</v>
      </c>
      <c r="S103" s="117" t="s">
        <v>293</v>
      </c>
      <c r="T103" s="115" t="s">
        <v>294</v>
      </c>
      <c r="U103" s="115" t="s">
        <v>295</v>
      </c>
      <c r="V103" s="118" t="s">
        <v>296</v>
      </c>
      <c r="W103" s="114">
        <v>2017</v>
      </c>
      <c r="X103" s="115">
        <v>2018</v>
      </c>
      <c r="Y103" s="115">
        <v>2019</v>
      </c>
      <c r="Z103" s="115">
        <v>2020</v>
      </c>
      <c r="AA103" s="115">
        <v>2021</v>
      </c>
      <c r="AB103" s="115">
        <v>2022</v>
      </c>
      <c r="AC103" s="115">
        <v>2023</v>
      </c>
      <c r="AD103" s="115">
        <v>2024</v>
      </c>
      <c r="AE103" s="116">
        <v>2025</v>
      </c>
      <c r="AF103" s="119">
        <v>2017</v>
      </c>
      <c r="AG103" s="120">
        <v>2018</v>
      </c>
      <c r="AH103" s="120">
        <v>2019</v>
      </c>
      <c r="AI103" s="120">
        <v>2020</v>
      </c>
      <c r="AJ103" s="120">
        <v>2021</v>
      </c>
      <c r="AK103" s="120">
        <v>2022</v>
      </c>
      <c r="AL103" s="120">
        <v>2023</v>
      </c>
      <c r="AM103" s="120">
        <v>2024</v>
      </c>
      <c r="AN103" s="120">
        <v>2025</v>
      </c>
      <c r="AO103" s="121" t="s">
        <v>297</v>
      </c>
      <c r="AP103" s="114" t="s">
        <v>298</v>
      </c>
      <c r="AQ103" s="115" t="s">
        <v>299</v>
      </c>
      <c r="AR103" s="115" t="s">
        <v>300</v>
      </c>
      <c r="AS103" s="115" t="s">
        <v>301</v>
      </c>
      <c r="AT103" s="115" t="s">
        <v>302</v>
      </c>
      <c r="AU103" s="115" t="s">
        <v>303</v>
      </c>
      <c r="AV103" s="115" t="s">
        <v>304</v>
      </c>
      <c r="AW103" s="115" t="s">
        <v>305</v>
      </c>
      <c r="AX103" s="122" t="s">
        <v>306</v>
      </c>
    </row>
    <row r="104" spans="1:50" x14ac:dyDescent="0.25">
      <c r="E104" s="409" t="s">
        <v>7</v>
      </c>
      <c r="F104" s="103"/>
      <c r="G104" s="103"/>
      <c r="H104" s="103"/>
      <c r="I104" s="382">
        <f>+I4</f>
        <v>2362607.749090909</v>
      </c>
      <c r="J104" s="383">
        <f t="shared" ref="J104:AW104" si="3">+J4</f>
        <v>6218861.0597454552</v>
      </c>
      <c r="K104" s="383">
        <f t="shared" si="3"/>
        <v>6327502.9745378178</v>
      </c>
      <c r="L104" s="383">
        <f t="shared" si="3"/>
        <v>6441137.2054694081</v>
      </c>
      <c r="M104" s="383">
        <f t="shared" si="3"/>
        <v>6560000.1749591706</v>
      </c>
      <c r="N104" s="383">
        <f t="shared" si="3"/>
        <v>6684339.7307453677</v>
      </c>
      <c r="O104" s="383">
        <f t="shared" si="3"/>
        <v>6814415.7052774737</v>
      </c>
      <c r="P104" s="383">
        <f t="shared" si="3"/>
        <v>6950500.5027214857</v>
      </c>
      <c r="Q104" s="383">
        <f t="shared" si="3"/>
        <v>7092879.7149485582</v>
      </c>
      <c r="R104" s="384">
        <f t="shared" si="3"/>
        <v>55452244.817495652</v>
      </c>
      <c r="S104" s="382">
        <f t="shared" si="3"/>
        <v>25447881.181132007</v>
      </c>
      <c r="T104" s="383"/>
      <c r="U104" s="383">
        <f t="shared" si="3"/>
        <v>30004363.636363637</v>
      </c>
      <c r="V104" s="385"/>
      <c r="W104" s="382">
        <f t="shared" si="3"/>
        <v>3906863.2945454544</v>
      </c>
      <c r="X104" s="383">
        <f t="shared" si="3"/>
        <v>8881418.4733818192</v>
      </c>
      <c r="Y104" s="383">
        <f t="shared" si="3"/>
        <v>8763092.022492364</v>
      </c>
      <c r="Z104" s="383">
        <f t="shared" si="3"/>
        <v>8926951.1914580427</v>
      </c>
      <c r="AA104" s="383">
        <f t="shared" si="3"/>
        <v>9074335.8195436019</v>
      </c>
      <c r="AB104" s="383">
        <f t="shared" si="3"/>
        <v>9253602.1547251847</v>
      </c>
      <c r="AC104" s="383">
        <f t="shared" si="3"/>
        <v>9441123.6566283423</v>
      </c>
      <c r="AD104" s="383">
        <f t="shared" si="3"/>
        <v>9637291.8390880246</v>
      </c>
      <c r="AE104" s="384">
        <f t="shared" si="3"/>
        <v>9842517.1542959046</v>
      </c>
      <c r="AF104" s="382">
        <f t="shared" si="3"/>
        <v>1638801</v>
      </c>
      <c r="AG104" s="383">
        <f t="shared" si="3"/>
        <v>2851648.3227272728</v>
      </c>
      <c r="AH104" s="383">
        <f t="shared" si="3"/>
        <v>2719225.4115909091</v>
      </c>
      <c r="AI104" s="383">
        <f t="shared" si="3"/>
        <v>2863995.8041704544</v>
      </c>
      <c r="AJ104" s="383">
        <f t="shared" si="3"/>
        <v>2987062.9173117047</v>
      </c>
      <c r="AK104" s="383">
        <f t="shared" si="3"/>
        <v>3136535.1512525445</v>
      </c>
      <c r="AL104" s="383">
        <f t="shared" si="3"/>
        <v>3288526.133169048</v>
      </c>
      <c r="AM104" s="383">
        <f t="shared" si="3"/>
        <v>3443154.9727301742</v>
      </c>
      <c r="AN104" s="383">
        <f t="shared" si="3"/>
        <v>3529637.4393473458</v>
      </c>
      <c r="AO104" s="384">
        <f t="shared" si="3"/>
        <v>26458587.152299453</v>
      </c>
      <c r="AP104" s="386"/>
      <c r="AQ104" s="383">
        <f t="shared" si="3"/>
        <v>1069000</v>
      </c>
      <c r="AR104" s="387"/>
      <c r="AS104" s="387"/>
      <c r="AT104" s="387"/>
      <c r="AU104" s="387"/>
      <c r="AV104" s="387"/>
      <c r="AW104" s="388">
        <f t="shared" si="3"/>
        <v>13267217.338337235</v>
      </c>
      <c r="AX104" s="389"/>
    </row>
    <row r="105" spans="1:50" x14ac:dyDescent="0.25">
      <c r="E105" s="409" t="s">
        <v>22</v>
      </c>
      <c r="F105" s="103"/>
      <c r="G105" s="103"/>
      <c r="H105" s="103"/>
      <c r="I105" s="382">
        <f>+I25</f>
        <v>10587034.609109091</v>
      </c>
      <c r="J105" s="383">
        <f t="shared" ref="J105:AW105" si="4">+J25</f>
        <v>9082923.7941100001</v>
      </c>
      <c r="K105" s="383">
        <f t="shared" si="4"/>
        <v>8839246.1474518627</v>
      </c>
      <c r="L105" s="383">
        <f t="shared" si="4"/>
        <v>9230178.7275517285</v>
      </c>
      <c r="M105" s="383">
        <f t="shared" si="4"/>
        <v>9596402.9548384063</v>
      </c>
      <c r="N105" s="383">
        <f t="shared" si="4"/>
        <v>9939134.3207621444</v>
      </c>
      <c r="O105" s="383">
        <f t="shared" si="4"/>
        <v>10547706.000436617</v>
      </c>
      <c r="P105" s="383">
        <f t="shared" si="4"/>
        <v>10832025.282276629</v>
      </c>
      <c r="Q105" s="383">
        <f t="shared" si="4"/>
        <v>11497084.637299551</v>
      </c>
      <c r="R105" s="384">
        <f t="shared" si="4"/>
        <v>90151736.473836049</v>
      </c>
      <c r="S105" s="382">
        <f t="shared" si="4"/>
        <v>82510188.878238186</v>
      </c>
      <c r="T105" s="383"/>
      <c r="U105" s="383">
        <f t="shared" si="4"/>
        <v>7641547.5955978502</v>
      </c>
      <c r="V105" s="385"/>
      <c r="W105" s="382">
        <f t="shared" si="4"/>
        <v>11171913.342747273</v>
      </c>
      <c r="X105" s="383">
        <f t="shared" si="4"/>
        <v>10532491.216493728</v>
      </c>
      <c r="Y105" s="383">
        <f t="shared" si="4"/>
        <v>10426033.044588413</v>
      </c>
      <c r="Z105" s="383">
        <f t="shared" si="4"/>
        <v>11502902.391996652</v>
      </c>
      <c r="AA105" s="383">
        <f t="shared" si="4"/>
        <v>12517905.787102276</v>
      </c>
      <c r="AB105" s="383">
        <f t="shared" si="4"/>
        <v>13242280.534968307</v>
      </c>
      <c r="AC105" s="383">
        <f t="shared" si="4"/>
        <v>14186702.636442365</v>
      </c>
      <c r="AD105" s="383">
        <f t="shared" si="4"/>
        <v>15412295.689917237</v>
      </c>
      <c r="AE105" s="384">
        <f t="shared" si="4"/>
        <v>17112381.407322034</v>
      </c>
      <c r="AF105" s="382">
        <f t="shared" si="4"/>
        <v>584878.73363818147</v>
      </c>
      <c r="AG105" s="383">
        <f t="shared" si="4"/>
        <v>1449567.4223837273</v>
      </c>
      <c r="AH105" s="383">
        <f t="shared" si="4"/>
        <v>1586786.8971365504</v>
      </c>
      <c r="AI105" s="383">
        <f t="shared" si="4"/>
        <v>2272723.6644449239</v>
      </c>
      <c r="AJ105" s="383">
        <f t="shared" si="4"/>
        <v>2921502.8322638702</v>
      </c>
      <c r="AK105" s="383">
        <f t="shared" si="4"/>
        <v>3303146.2142061614</v>
      </c>
      <c r="AL105" s="383">
        <f t="shared" si="4"/>
        <v>3638996.6360057495</v>
      </c>
      <c r="AM105" s="383">
        <f t="shared" si="4"/>
        <v>4580270.407640608</v>
      </c>
      <c r="AN105" s="383">
        <f t="shared" si="4"/>
        <v>5615296.7700224845</v>
      </c>
      <c r="AO105" s="384">
        <f t="shared" si="4"/>
        <v>25953169.57774226</v>
      </c>
      <c r="AP105" s="386"/>
      <c r="AQ105" s="383">
        <f t="shared" si="4"/>
        <v>419000</v>
      </c>
      <c r="AR105" s="387"/>
      <c r="AS105" s="387"/>
      <c r="AT105" s="387"/>
      <c r="AU105" s="387"/>
      <c r="AV105" s="387"/>
      <c r="AW105" s="388">
        <f t="shared" si="4"/>
        <v>25534169.577742252</v>
      </c>
      <c r="AX105" s="389"/>
    </row>
    <row r="106" spans="1:50" x14ac:dyDescent="0.25">
      <c r="E106" s="409" t="s">
        <v>32</v>
      </c>
      <c r="F106" s="103"/>
      <c r="G106" s="103"/>
      <c r="H106" s="103"/>
      <c r="I106" s="382">
        <f>+I36</f>
        <v>33762999.561979473</v>
      </c>
      <c r="J106" s="383">
        <f t="shared" ref="J106:AW106" si="5">+J36</f>
        <v>45242141.523018196</v>
      </c>
      <c r="K106" s="383">
        <f t="shared" si="5"/>
        <v>36861485.346377693</v>
      </c>
      <c r="L106" s="383">
        <f t="shared" si="5"/>
        <v>39335228.530032955</v>
      </c>
      <c r="M106" s="383">
        <f t="shared" si="5"/>
        <v>39247843.1173108</v>
      </c>
      <c r="N106" s="383">
        <f t="shared" si="5"/>
        <v>39550300.867899217</v>
      </c>
      <c r="O106" s="383">
        <f t="shared" si="5"/>
        <v>41567241.187839806</v>
      </c>
      <c r="P106" s="383">
        <f t="shared" si="5"/>
        <v>43624468.63184718</v>
      </c>
      <c r="Q106" s="383">
        <f t="shared" si="5"/>
        <v>45784557.448054925</v>
      </c>
      <c r="R106" s="384">
        <f t="shared" si="5"/>
        <v>364976266.2143603</v>
      </c>
      <c r="S106" s="382">
        <f t="shared" si="5"/>
        <v>342822330.38135868</v>
      </c>
      <c r="T106" s="383"/>
      <c r="U106" s="383">
        <f t="shared" si="5"/>
        <v>22245572.196637835</v>
      </c>
      <c r="V106" s="385"/>
      <c r="W106" s="382">
        <f t="shared" si="5"/>
        <v>50637397.327662289</v>
      </c>
      <c r="X106" s="383">
        <f t="shared" si="5"/>
        <v>64477506.826679617</v>
      </c>
      <c r="Y106" s="383">
        <f t="shared" si="5"/>
        <v>59430640.615159839</v>
      </c>
      <c r="Z106" s="383">
        <f t="shared" si="5"/>
        <v>63472269.777476378</v>
      </c>
      <c r="AA106" s="383">
        <f t="shared" si="5"/>
        <v>64997315.797960773</v>
      </c>
      <c r="AB106" s="383">
        <f t="shared" si="5"/>
        <v>67883477.709028646</v>
      </c>
      <c r="AC106" s="383">
        <f t="shared" si="5"/>
        <v>70533031.280357778</v>
      </c>
      <c r="AD106" s="383">
        <f t="shared" si="5"/>
        <v>73173235.61211732</v>
      </c>
      <c r="AE106" s="384">
        <f t="shared" si="5"/>
        <v>77960664.952440888</v>
      </c>
      <c r="AF106" s="382">
        <f t="shared" si="5"/>
        <v>16874397.765682809</v>
      </c>
      <c r="AG106" s="383">
        <f t="shared" si="5"/>
        <v>19235365.303661425</v>
      </c>
      <c r="AH106" s="383">
        <f t="shared" si="5"/>
        <v>22569155.26878215</v>
      </c>
      <c r="AI106" s="383">
        <f t="shared" si="5"/>
        <v>24137041.247443426</v>
      </c>
      <c r="AJ106" s="383">
        <f t="shared" si="5"/>
        <v>25749472.680649981</v>
      </c>
      <c r="AK106" s="383">
        <f t="shared" si="5"/>
        <v>28333176.841129426</v>
      </c>
      <c r="AL106" s="383">
        <f t="shared" si="5"/>
        <v>28965790.092517976</v>
      </c>
      <c r="AM106" s="383">
        <f t="shared" si="5"/>
        <v>29548766.980270147</v>
      </c>
      <c r="AN106" s="383">
        <f t="shared" si="5"/>
        <v>32176107.504385967</v>
      </c>
      <c r="AO106" s="384">
        <f t="shared" si="5"/>
        <v>227589273.68452328</v>
      </c>
      <c r="AP106" s="386"/>
      <c r="AQ106" s="383">
        <f t="shared" si="5"/>
        <v>553300</v>
      </c>
      <c r="AR106" s="387"/>
      <c r="AS106" s="387"/>
      <c r="AT106" s="387"/>
      <c r="AU106" s="387"/>
      <c r="AV106" s="387"/>
      <c r="AW106" s="388">
        <f t="shared" si="5"/>
        <v>227035973.68452331</v>
      </c>
      <c r="AX106" s="389"/>
    </row>
    <row r="107" spans="1:50" x14ac:dyDescent="0.25">
      <c r="E107" s="409" t="s">
        <v>51</v>
      </c>
      <c r="F107" s="103"/>
      <c r="G107" s="103"/>
      <c r="H107" s="103"/>
      <c r="I107" s="382">
        <f>+I54</f>
        <v>1673658.3790309511</v>
      </c>
      <c r="J107" s="383">
        <f t="shared" ref="J107:AW107" si="6">+J54</f>
        <v>1686022.0153945875</v>
      </c>
      <c r="K107" s="383">
        <f t="shared" si="6"/>
        <v>1679840.1972127694</v>
      </c>
      <c r="L107" s="383">
        <f t="shared" si="6"/>
        <v>1073173.5305461027</v>
      </c>
      <c r="M107" s="383">
        <f t="shared" si="6"/>
        <v>1066991.7123642846</v>
      </c>
      <c r="N107" s="383">
        <f t="shared" si="6"/>
        <v>1066991.7123642846</v>
      </c>
      <c r="O107" s="383">
        <f t="shared" si="6"/>
        <v>1066991.7123642846</v>
      </c>
      <c r="P107" s="383">
        <f t="shared" si="6"/>
        <v>1066991.7123642846</v>
      </c>
      <c r="Q107" s="383">
        <f t="shared" si="6"/>
        <v>1066991.7123642846</v>
      </c>
      <c r="R107" s="384">
        <f t="shared" si="6"/>
        <v>11447652.684005836</v>
      </c>
      <c r="S107" s="382">
        <f t="shared" si="6"/>
        <v>8929625.9068536423</v>
      </c>
      <c r="T107" s="383"/>
      <c r="U107" s="383">
        <f t="shared" si="6"/>
        <v>2518026.77715219</v>
      </c>
      <c r="V107" s="385"/>
      <c r="W107" s="382">
        <f t="shared" si="6"/>
        <v>2567604.6368497815</v>
      </c>
      <c r="X107" s="383">
        <f t="shared" si="6"/>
        <v>2598695.5459406907</v>
      </c>
      <c r="Y107" s="383">
        <f t="shared" si="6"/>
        <v>2573968.2732134177</v>
      </c>
      <c r="Z107" s="383">
        <f t="shared" si="6"/>
        <v>2633968.2732134163</v>
      </c>
      <c r="AA107" s="383">
        <f t="shared" si="6"/>
        <v>2621604.6368497801</v>
      </c>
      <c r="AB107" s="383">
        <f t="shared" si="6"/>
        <v>2621604.6368497801</v>
      </c>
      <c r="AC107" s="383">
        <f t="shared" si="6"/>
        <v>2621604.6368497801</v>
      </c>
      <c r="AD107" s="383">
        <f t="shared" si="6"/>
        <v>2621604.6368497801</v>
      </c>
      <c r="AE107" s="384">
        <f t="shared" si="6"/>
        <v>2621604.6368497801</v>
      </c>
      <c r="AF107" s="382">
        <f t="shared" si="6"/>
        <v>893946.25781882997</v>
      </c>
      <c r="AG107" s="383">
        <f t="shared" si="6"/>
        <v>912673.53054610279</v>
      </c>
      <c r="AH107" s="383">
        <f t="shared" si="6"/>
        <v>894128.0760006482</v>
      </c>
      <c r="AI107" s="383">
        <f t="shared" si="6"/>
        <v>1560794.7426673137</v>
      </c>
      <c r="AJ107" s="383">
        <f t="shared" si="6"/>
        <v>1554612.9244854955</v>
      </c>
      <c r="AK107" s="383">
        <f t="shared" si="6"/>
        <v>1554612.9244854955</v>
      </c>
      <c r="AL107" s="383">
        <f t="shared" si="6"/>
        <v>1554612.9244854955</v>
      </c>
      <c r="AM107" s="383">
        <f t="shared" si="6"/>
        <v>1554612.9244854955</v>
      </c>
      <c r="AN107" s="383">
        <f t="shared" si="6"/>
        <v>1554612.9244854955</v>
      </c>
      <c r="AO107" s="384">
        <f t="shared" si="6"/>
        <v>12034607.229460374</v>
      </c>
      <c r="AP107" s="386"/>
      <c r="AQ107" s="383">
        <f t="shared" si="6"/>
        <v>6000</v>
      </c>
      <c r="AR107" s="387"/>
      <c r="AS107" s="387"/>
      <c r="AT107" s="387"/>
      <c r="AU107" s="387"/>
      <c r="AV107" s="387"/>
      <c r="AW107" s="388">
        <f t="shared" si="6"/>
        <v>12028607.229460372</v>
      </c>
      <c r="AX107" s="389"/>
    </row>
    <row r="108" spans="1:50" ht="13.5" thickBot="1" x14ac:dyDescent="0.3">
      <c r="E108" s="410" t="s">
        <v>60</v>
      </c>
      <c r="F108" s="390"/>
      <c r="G108" s="103"/>
      <c r="H108" s="391"/>
      <c r="I108" s="392">
        <f>+I65</f>
        <v>317109.09090909088</v>
      </c>
      <c r="J108" s="393">
        <f t="shared" ref="J108:AW108" si="7">+J65</f>
        <v>321263.27272727271</v>
      </c>
      <c r="K108" s="393">
        <f t="shared" si="7"/>
        <v>265565.11030303035</v>
      </c>
      <c r="L108" s="393">
        <f t="shared" si="7"/>
        <v>213166.91209696964</v>
      </c>
      <c r="M108" s="393">
        <f t="shared" si="7"/>
        <v>159160.40430836362</v>
      </c>
      <c r="N108" s="393">
        <f t="shared" si="7"/>
        <v>161788.85280125093</v>
      </c>
      <c r="O108" s="393">
        <f t="shared" si="7"/>
        <v>161174.33656710663</v>
      </c>
      <c r="P108" s="393">
        <f t="shared" si="7"/>
        <v>163863.20302775619</v>
      </c>
      <c r="Q108" s="393">
        <f t="shared" si="7"/>
        <v>163310.91730040705</v>
      </c>
      <c r="R108" s="394">
        <f t="shared" si="7"/>
        <v>1926402.1000412481</v>
      </c>
      <c r="S108" s="392">
        <f t="shared" si="7"/>
        <v>923555.9083950565</v>
      </c>
      <c r="T108" s="393"/>
      <c r="U108" s="393">
        <f t="shared" si="7"/>
        <v>1002846.1916461916</v>
      </c>
      <c r="V108" s="395"/>
      <c r="W108" s="392">
        <f t="shared" si="7"/>
        <v>1293490.9090909092</v>
      </c>
      <c r="X108" s="393">
        <f t="shared" si="7"/>
        <v>1484246.1818181819</v>
      </c>
      <c r="Y108" s="393">
        <f t="shared" si="7"/>
        <v>851400.71393939399</v>
      </c>
      <c r="Z108" s="393">
        <f t="shared" si="7"/>
        <v>590702.27344242414</v>
      </c>
      <c r="AA108" s="393">
        <f t="shared" si="7"/>
        <v>483475.35897709086</v>
      </c>
      <c r="AB108" s="393">
        <f t="shared" si="7"/>
        <v>500778.80469715269</v>
      </c>
      <c r="AC108" s="393">
        <f t="shared" si="7"/>
        <v>543587.62839692226</v>
      </c>
      <c r="AD108" s="393">
        <f t="shared" si="7"/>
        <v>607665.78963522566</v>
      </c>
      <c r="AE108" s="394">
        <f t="shared" si="7"/>
        <v>562923.79726749705</v>
      </c>
      <c r="AF108" s="392">
        <f t="shared" si="7"/>
        <v>976381.81818181823</v>
      </c>
      <c r="AG108" s="393">
        <f t="shared" si="7"/>
        <v>1162982.9090909092</v>
      </c>
      <c r="AH108" s="393">
        <f t="shared" si="7"/>
        <v>585835.60363636364</v>
      </c>
      <c r="AI108" s="393">
        <f t="shared" si="7"/>
        <v>377535.36134545458</v>
      </c>
      <c r="AJ108" s="393">
        <f t="shared" si="7"/>
        <v>324314.95466872724</v>
      </c>
      <c r="AK108" s="393">
        <f t="shared" si="7"/>
        <v>338989.95189590182</v>
      </c>
      <c r="AL108" s="393">
        <f t="shared" si="7"/>
        <v>382413.29182981566</v>
      </c>
      <c r="AM108" s="393">
        <f t="shared" si="7"/>
        <v>443802.58660746954</v>
      </c>
      <c r="AN108" s="393">
        <f t="shared" si="7"/>
        <v>399612.87996708992</v>
      </c>
      <c r="AO108" s="394">
        <f t="shared" si="7"/>
        <v>4991869.3572235489</v>
      </c>
      <c r="AP108" s="396"/>
      <c r="AQ108" s="393">
        <f t="shared" si="7"/>
        <v>2666500</v>
      </c>
      <c r="AR108" s="397"/>
      <c r="AS108" s="397"/>
      <c r="AT108" s="397"/>
      <c r="AU108" s="397"/>
      <c r="AV108" s="397"/>
      <c r="AW108" s="398">
        <f t="shared" si="7"/>
        <v>2325369.3572235494</v>
      </c>
      <c r="AX108" s="399"/>
    </row>
    <row r="109" spans="1:50" x14ac:dyDescent="0.25">
      <c r="E109" s="411" t="s">
        <v>497</v>
      </c>
      <c r="F109" s="103"/>
      <c r="G109" s="103"/>
      <c r="H109" s="103"/>
      <c r="I109" s="400">
        <f>SUM(I104:I108)</f>
        <v>48703409.390119515</v>
      </c>
      <c r="J109" s="401">
        <f t="shared" ref="J109:AW109" si="8">SUM(J104:J108)</f>
        <v>62551211.664995514</v>
      </c>
      <c r="K109" s="401">
        <f t="shared" si="8"/>
        <v>53973639.775883175</v>
      </c>
      <c r="L109" s="401">
        <f t="shared" si="8"/>
        <v>56292884.905697159</v>
      </c>
      <c r="M109" s="401">
        <f t="shared" si="8"/>
        <v>56630398.363781027</v>
      </c>
      <c r="N109" s="401">
        <f t="shared" si="8"/>
        <v>57402555.484572262</v>
      </c>
      <c r="O109" s="401">
        <f t="shared" si="8"/>
        <v>60157528.942485288</v>
      </c>
      <c r="P109" s="401">
        <f t="shared" si="8"/>
        <v>62637849.332237333</v>
      </c>
      <c r="Q109" s="401">
        <f t="shared" si="8"/>
        <v>65604824.429967731</v>
      </c>
      <c r="R109" s="402">
        <f t="shared" si="8"/>
        <v>523954302.28973913</v>
      </c>
      <c r="S109" s="400">
        <f t="shared" si="8"/>
        <v>460633582.25597757</v>
      </c>
      <c r="T109" s="401"/>
      <c r="U109" s="401">
        <f t="shared" si="8"/>
        <v>63412356.397397704</v>
      </c>
      <c r="V109" s="403"/>
      <c r="W109" s="400">
        <f t="shared" si="8"/>
        <v>69577269.510895699</v>
      </c>
      <c r="X109" s="401">
        <f t="shared" si="8"/>
        <v>87974358.244314045</v>
      </c>
      <c r="Y109" s="401">
        <f t="shared" si="8"/>
        <v>82045134.669393435</v>
      </c>
      <c r="Z109" s="401">
        <f t="shared" si="8"/>
        <v>87126793.907586902</v>
      </c>
      <c r="AA109" s="401">
        <f t="shared" si="8"/>
        <v>89694637.400433525</v>
      </c>
      <c r="AB109" s="401">
        <f t="shared" si="8"/>
        <v>93501743.840269074</v>
      </c>
      <c r="AC109" s="401">
        <f t="shared" si="8"/>
        <v>97326049.838675186</v>
      </c>
      <c r="AD109" s="401">
        <f t="shared" si="8"/>
        <v>101452093.56760758</v>
      </c>
      <c r="AE109" s="402">
        <f t="shared" si="8"/>
        <v>108100091.9481761</v>
      </c>
      <c r="AF109" s="400">
        <f t="shared" si="8"/>
        <v>20968405.575321637</v>
      </c>
      <c r="AG109" s="401">
        <f t="shared" si="8"/>
        <v>25612237.488409437</v>
      </c>
      <c r="AH109" s="401">
        <f t="shared" si="8"/>
        <v>28355131.257146627</v>
      </c>
      <c r="AI109" s="401">
        <f t="shared" si="8"/>
        <v>31212090.820071574</v>
      </c>
      <c r="AJ109" s="401">
        <f t="shared" si="8"/>
        <v>33536966.309379779</v>
      </c>
      <c r="AK109" s="401">
        <f t="shared" si="8"/>
        <v>36666461.082969531</v>
      </c>
      <c r="AL109" s="401">
        <f t="shared" si="8"/>
        <v>37830339.078008085</v>
      </c>
      <c r="AM109" s="401">
        <f t="shared" si="8"/>
        <v>39570607.871733896</v>
      </c>
      <c r="AN109" s="401">
        <f t="shared" si="8"/>
        <v>43275267.518208392</v>
      </c>
      <c r="AO109" s="402">
        <f t="shared" si="8"/>
        <v>297027507.0012489</v>
      </c>
      <c r="AP109" s="404"/>
      <c r="AQ109" s="401">
        <f t="shared" si="8"/>
        <v>4713800</v>
      </c>
      <c r="AR109" s="405"/>
      <c r="AS109" s="405"/>
      <c r="AT109" s="405"/>
      <c r="AU109" s="405"/>
      <c r="AV109" s="405"/>
      <c r="AW109" s="406">
        <f t="shared" si="8"/>
        <v>280191337.18728673</v>
      </c>
      <c r="AX109" s="407"/>
    </row>
    <row r="111" spans="1:50" ht="14.25" x14ac:dyDescent="0.25">
      <c r="E111" s="603" t="s">
        <v>769</v>
      </c>
      <c r="F111" s="255"/>
      <c r="G111" s="255"/>
      <c r="H111" s="255"/>
      <c r="I111" s="608" t="s">
        <v>764</v>
      </c>
      <c r="J111" s="609"/>
      <c r="K111" s="608" t="s">
        <v>767</v>
      </c>
      <c r="L111" s="609"/>
      <c r="R111" s="506">
        <f t="shared" ref="R111:R116" si="9">+R104*550/570</f>
        <v>53506552.016881771</v>
      </c>
      <c r="AE111" s="381">
        <f>+SUM(W108:AE108)</f>
        <v>6918271.4572647978</v>
      </c>
      <c r="AO111" s="506">
        <f t="shared" ref="AO111:AO116" si="10">+AO104*550/570</f>
        <v>25530215.673271399</v>
      </c>
    </row>
    <row r="112" spans="1:50" x14ac:dyDescent="0.25">
      <c r="E112" s="603"/>
      <c r="F112" s="255"/>
      <c r="G112" s="255"/>
      <c r="H112" s="255"/>
      <c r="I112" s="508" t="s">
        <v>765</v>
      </c>
      <c r="J112" s="508" t="s">
        <v>766</v>
      </c>
      <c r="K112" s="508" t="s">
        <v>765</v>
      </c>
      <c r="L112" s="508" t="s">
        <v>766</v>
      </c>
      <c r="R112" s="506">
        <f t="shared" si="9"/>
        <v>86988517.650192678</v>
      </c>
      <c r="AO112" s="506">
        <f t="shared" si="10"/>
        <v>25042532.048698671</v>
      </c>
    </row>
    <row r="113" spans="5:41" x14ac:dyDescent="0.25">
      <c r="E113" s="207" t="s">
        <v>7</v>
      </c>
      <c r="F113" s="255"/>
      <c r="G113" s="255"/>
      <c r="H113" s="255"/>
      <c r="I113" s="383">
        <f t="shared" ref="I113:I118" si="11">+R104</f>
        <v>55452244.817495652</v>
      </c>
      <c r="J113" s="272">
        <f t="shared" ref="J113:J118" si="12">+R111</f>
        <v>53506552.016881771</v>
      </c>
      <c r="K113" s="383">
        <f t="shared" ref="K113:K118" si="13">+AO104</f>
        <v>26458587.152299453</v>
      </c>
      <c r="L113" s="272">
        <f t="shared" ref="L113:L118" si="14">+AO111</f>
        <v>25530215.673271399</v>
      </c>
      <c r="M113" s="381">
        <f t="shared" ref="M113:M118" si="15">+I113+K113</f>
        <v>81910831.969795108</v>
      </c>
      <c r="R113" s="506">
        <f t="shared" si="9"/>
        <v>352170081.43490905</v>
      </c>
      <c r="AO113" s="506">
        <f t="shared" si="10"/>
        <v>219603685.13418913</v>
      </c>
    </row>
    <row r="114" spans="5:41" x14ac:dyDescent="0.25">
      <c r="E114" s="207" t="s">
        <v>22</v>
      </c>
      <c r="F114" s="255"/>
      <c r="G114" s="255"/>
      <c r="H114" s="255"/>
      <c r="I114" s="383">
        <f t="shared" si="11"/>
        <v>90151736.473836049</v>
      </c>
      <c r="J114" s="272">
        <f t="shared" si="12"/>
        <v>86988517.650192678</v>
      </c>
      <c r="K114" s="383">
        <f t="shared" si="13"/>
        <v>25953169.57774226</v>
      </c>
      <c r="L114" s="272">
        <f t="shared" si="14"/>
        <v>25042532.048698671</v>
      </c>
      <c r="M114" s="381">
        <f t="shared" si="15"/>
        <v>116104906.05157831</v>
      </c>
      <c r="R114" s="506">
        <f t="shared" si="9"/>
        <v>11045980.660005631</v>
      </c>
      <c r="AO114" s="506">
        <f t="shared" si="10"/>
        <v>11612340.30912843</v>
      </c>
    </row>
    <row r="115" spans="5:41" x14ac:dyDescent="0.25">
      <c r="E115" s="207" t="s">
        <v>32</v>
      </c>
      <c r="F115" s="255"/>
      <c r="G115" s="255"/>
      <c r="H115" s="255"/>
      <c r="I115" s="383">
        <f t="shared" si="11"/>
        <v>364976266.2143603</v>
      </c>
      <c r="J115" s="272">
        <f t="shared" si="12"/>
        <v>352170081.43490905</v>
      </c>
      <c r="K115" s="383">
        <f t="shared" si="13"/>
        <v>227589273.68452328</v>
      </c>
      <c r="L115" s="272">
        <f t="shared" si="14"/>
        <v>219603685.13418913</v>
      </c>
      <c r="M115" s="381">
        <f t="shared" si="15"/>
        <v>592565539.89888358</v>
      </c>
      <c r="R115" s="506">
        <f t="shared" si="9"/>
        <v>1858809.04389945</v>
      </c>
      <c r="AO115" s="506">
        <f t="shared" si="10"/>
        <v>4816716.0464437753</v>
      </c>
    </row>
    <row r="116" spans="5:41" x14ac:dyDescent="0.25">
      <c r="E116" s="207" t="s">
        <v>51</v>
      </c>
      <c r="F116" s="255"/>
      <c r="G116" s="255"/>
      <c r="H116" s="255"/>
      <c r="I116" s="383">
        <f t="shared" si="11"/>
        <v>11447652.684005836</v>
      </c>
      <c r="J116" s="272">
        <f t="shared" si="12"/>
        <v>11045980.660005631</v>
      </c>
      <c r="K116" s="383">
        <f t="shared" si="13"/>
        <v>12034607.229460374</v>
      </c>
      <c r="L116" s="272">
        <f t="shared" si="14"/>
        <v>11612340.30912843</v>
      </c>
      <c r="M116" s="381">
        <f t="shared" si="15"/>
        <v>23482259.913466208</v>
      </c>
      <c r="R116" s="506">
        <f t="shared" si="9"/>
        <v>505569940.80588859</v>
      </c>
      <c r="AO116" s="506">
        <f t="shared" si="10"/>
        <v>286605489.21173137</v>
      </c>
    </row>
    <row r="117" spans="5:41" x14ac:dyDescent="0.25">
      <c r="E117" s="207" t="s">
        <v>60</v>
      </c>
      <c r="F117" s="255"/>
      <c r="G117" s="255"/>
      <c r="H117" s="255"/>
      <c r="I117" s="383">
        <f t="shared" si="11"/>
        <v>1926402.1000412481</v>
      </c>
      <c r="J117" s="272">
        <f t="shared" si="12"/>
        <v>1858809.04389945</v>
      </c>
      <c r="K117" s="383">
        <f t="shared" si="13"/>
        <v>4991869.3572235489</v>
      </c>
      <c r="L117" s="272">
        <f t="shared" si="14"/>
        <v>4816716.0464437753</v>
      </c>
      <c r="M117" s="381">
        <f t="shared" si="15"/>
        <v>6918271.4572647968</v>
      </c>
      <c r="R117" s="506"/>
    </row>
    <row r="118" spans="5:41" x14ac:dyDescent="0.25">
      <c r="E118" s="507" t="s">
        <v>497</v>
      </c>
      <c r="F118" s="255"/>
      <c r="G118" s="255"/>
      <c r="H118" s="255"/>
      <c r="I118" s="383">
        <f t="shared" si="11"/>
        <v>523954302.28973913</v>
      </c>
      <c r="J118" s="272">
        <f t="shared" si="12"/>
        <v>505569940.80588859</v>
      </c>
      <c r="K118" s="383">
        <f t="shared" si="13"/>
        <v>297027507.0012489</v>
      </c>
      <c r="L118" s="272">
        <f t="shared" si="14"/>
        <v>286605489.21173137</v>
      </c>
      <c r="M118" s="381">
        <f t="shared" si="15"/>
        <v>820981809.29098797</v>
      </c>
      <c r="R118" s="506"/>
    </row>
    <row r="119" spans="5:41" x14ac:dyDescent="0.25">
      <c r="M119" s="381">
        <f>+J118+L118</f>
        <v>792175430.01761997</v>
      </c>
    </row>
    <row r="120" spans="5:41" ht="14.25" x14ac:dyDescent="0.25">
      <c r="E120" s="603" t="s">
        <v>769</v>
      </c>
      <c r="F120" s="255"/>
      <c r="G120" s="255"/>
      <c r="H120" s="255"/>
      <c r="I120" s="604" t="s">
        <v>764</v>
      </c>
      <c r="J120" s="604" t="s">
        <v>767</v>
      </c>
      <c r="K120" s="606" t="s">
        <v>770</v>
      </c>
      <c r="L120" s="522"/>
    </row>
    <row r="121" spans="5:41" x14ac:dyDescent="0.25">
      <c r="E121" s="603"/>
      <c r="F121" s="255"/>
      <c r="G121" s="255"/>
      <c r="H121" s="255"/>
      <c r="I121" s="605"/>
      <c r="J121" s="605"/>
      <c r="K121" s="607"/>
      <c r="L121" s="523"/>
    </row>
    <row r="122" spans="5:41" x14ac:dyDescent="0.25">
      <c r="E122" s="207" t="s">
        <v>7</v>
      </c>
      <c r="F122" s="255"/>
      <c r="G122" s="255"/>
      <c r="H122" s="255"/>
      <c r="I122" s="383">
        <f t="shared" ref="I122:I127" si="16">+I113</f>
        <v>55452244.817495652</v>
      </c>
      <c r="J122" s="272">
        <f t="shared" ref="J122:J127" si="17">+K113</f>
        <v>26458587.152299453</v>
      </c>
      <c r="K122" s="383">
        <f t="shared" ref="K122:K127" si="18">+I122+J122</f>
        <v>81910831.969795108</v>
      </c>
      <c r="L122" s="524"/>
      <c r="M122" s="381">
        <f t="shared" ref="M122:M127" si="19">+I122+K122</f>
        <v>137363076.78729075</v>
      </c>
    </row>
    <row r="123" spans="5:41" x14ac:dyDescent="0.25">
      <c r="E123" s="207" t="s">
        <v>22</v>
      </c>
      <c r="F123" s="255"/>
      <c r="G123" s="255"/>
      <c r="H123" s="255"/>
      <c r="I123" s="383">
        <f t="shared" si="16"/>
        <v>90151736.473836049</v>
      </c>
      <c r="J123" s="272">
        <f t="shared" si="17"/>
        <v>25953169.57774226</v>
      </c>
      <c r="K123" s="383">
        <f t="shared" si="18"/>
        <v>116104906.05157831</v>
      </c>
      <c r="L123" s="524"/>
      <c r="M123" s="381">
        <f t="shared" si="19"/>
        <v>206256642.52541435</v>
      </c>
    </row>
    <row r="124" spans="5:41" x14ac:dyDescent="0.25">
      <c r="E124" s="207" t="s">
        <v>32</v>
      </c>
      <c r="F124" s="255"/>
      <c r="G124" s="255"/>
      <c r="H124" s="255"/>
      <c r="I124" s="383">
        <f t="shared" si="16"/>
        <v>364976266.2143603</v>
      </c>
      <c r="J124" s="272">
        <f t="shared" si="17"/>
        <v>227589273.68452328</v>
      </c>
      <c r="K124" s="383">
        <f t="shared" si="18"/>
        <v>592565539.89888358</v>
      </c>
      <c r="L124" s="524"/>
      <c r="M124" s="381">
        <f t="shared" si="19"/>
        <v>957541806.11324382</v>
      </c>
    </row>
    <row r="125" spans="5:41" x14ac:dyDescent="0.25">
      <c r="E125" s="207" t="s">
        <v>51</v>
      </c>
      <c r="F125" s="255"/>
      <c r="G125" s="255"/>
      <c r="H125" s="255"/>
      <c r="I125" s="383">
        <f t="shared" si="16"/>
        <v>11447652.684005836</v>
      </c>
      <c r="J125" s="272">
        <f t="shared" si="17"/>
        <v>12034607.229460374</v>
      </c>
      <c r="K125" s="383">
        <f t="shared" si="18"/>
        <v>23482259.913466208</v>
      </c>
      <c r="L125" s="524"/>
      <c r="M125" s="381">
        <f t="shared" si="19"/>
        <v>34929912.597472042</v>
      </c>
    </row>
    <row r="126" spans="5:41" x14ac:dyDescent="0.25">
      <c r="E126" s="207" t="s">
        <v>60</v>
      </c>
      <c r="F126" s="255"/>
      <c r="G126" s="255"/>
      <c r="H126" s="255"/>
      <c r="I126" s="383">
        <f t="shared" si="16"/>
        <v>1926402.1000412481</v>
      </c>
      <c r="J126" s="272">
        <f t="shared" si="17"/>
        <v>4991869.3572235489</v>
      </c>
      <c r="K126" s="383">
        <f t="shared" si="18"/>
        <v>6918271.4572647968</v>
      </c>
      <c r="L126" s="524"/>
      <c r="M126" s="381">
        <f t="shared" si="19"/>
        <v>8844673.5573060457</v>
      </c>
    </row>
    <row r="127" spans="5:41" x14ac:dyDescent="0.25">
      <c r="E127" s="507" t="s">
        <v>497</v>
      </c>
      <c r="F127" s="255"/>
      <c r="G127" s="255"/>
      <c r="H127" s="255"/>
      <c r="I127" s="525">
        <f t="shared" si="16"/>
        <v>523954302.28973913</v>
      </c>
      <c r="J127" s="419">
        <f t="shared" si="17"/>
        <v>297027507.0012489</v>
      </c>
      <c r="K127" s="525">
        <f t="shared" si="18"/>
        <v>820981809.29098797</v>
      </c>
      <c r="L127" s="524"/>
      <c r="M127" s="381">
        <f t="shared" si="19"/>
        <v>1344936111.5807271</v>
      </c>
    </row>
  </sheetData>
  <mergeCells count="24">
    <mergeCell ref="AF102:AO102"/>
    <mergeCell ref="AP102:AX102"/>
    <mergeCell ref="F1:AX1"/>
    <mergeCell ref="AP2:AX2"/>
    <mergeCell ref="W2:AE2"/>
    <mergeCell ref="AF2:AO2"/>
    <mergeCell ref="F2:F3"/>
    <mergeCell ref="G2:G3"/>
    <mergeCell ref="H2:H3"/>
    <mergeCell ref="I2:R2"/>
    <mergeCell ref="S102:V102"/>
    <mergeCell ref="S2:V2"/>
    <mergeCell ref="W102:AE102"/>
    <mergeCell ref="E120:E121"/>
    <mergeCell ref="I120:I121"/>
    <mergeCell ref="J120:J121"/>
    <mergeCell ref="K120:K121"/>
    <mergeCell ref="B2:D2"/>
    <mergeCell ref="E2:E3"/>
    <mergeCell ref="E111:E112"/>
    <mergeCell ref="I111:J111"/>
    <mergeCell ref="K111:L111"/>
    <mergeCell ref="E102:E103"/>
    <mergeCell ref="I102:R102"/>
  </mergeCells>
  <conditionalFormatting sqref="F49">
    <cfRule type="containsText" dxfId="881" priority="283" operator="containsText" text="L3 - Subprograms (in planning)">
      <formula>NOT(ISERROR(SEARCH("L3 - Subprograms (in planning)",F49)))</formula>
    </cfRule>
    <cfRule type="containsText" dxfId="880" priority="284" operator="containsText" text="L3 - Subprograms (w/plans)">
      <formula>NOT(ISERROR(SEARCH("L3 - Subprograms (w/plans)",F49)))</formula>
    </cfRule>
    <cfRule type="containsText" dxfId="879" priority="285" operator="containsText" text="L2 - Policies and Strategies REDD+ and Land-use">
      <formula>NOT(ISERROR(SEARCH("L2 - Policies and Strategies REDD+ and Land-use",F49)))</formula>
    </cfRule>
    <cfRule type="containsText" dxfId="878" priority="286" operator="containsText" text="TBD/??">
      <formula>NOT(ISERROR(SEARCH("TBD/??",F49)))</formula>
    </cfRule>
    <cfRule type="containsText" dxfId="877" priority="287" operator="containsText" text="L1 - REDD+ Program Admin and Mgt">
      <formula>NOT(ISERROR(SEARCH("L1 - REDD+ Program Admin and Mgt",F49)))</formula>
    </cfRule>
  </conditionalFormatting>
  <conditionalFormatting sqref="F64">
    <cfRule type="containsText" dxfId="876" priority="277" operator="containsText" text="L3 - Subprograms (in planning)">
      <formula>NOT(ISERROR(SEARCH("L3 - Subprograms (in planning)",F64)))</formula>
    </cfRule>
    <cfRule type="containsText" dxfId="875" priority="278" operator="containsText" text="L3 - Subprograms (w/plans)">
      <formula>NOT(ISERROR(SEARCH("L3 - Subprograms (w/plans)",F64)))</formula>
    </cfRule>
    <cfRule type="containsText" dxfId="874" priority="279" operator="containsText" text="L2 - Policies and Strategies REDD+ and Land-use">
      <formula>NOT(ISERROR(SEARCH("L2 - Policies and Strategies REDD+ and Land-use",F64)))</formula>
    </cfRule>
    <cfRule type="containsText" dxfId="873" priority="280" operator="containsText" text="TBD/??">
      <formula>NOT(ISERROR(SEARCH("TBD/??",F64)))</formula>
    </cfRule>
    <cfRule type="containsText" dxfId="872" priority="281" operator="containsText" text="L1 - REDD+ Program Admin and Mgt">
      <formula>NOT(ISERROR(SEARCH("L1 - REDD+ Program Admin and Mgt",F64)))</formula>
    </cfRule>
  </conditionalFormatting>
  <conditionalFormatting sqref="F35">
    <cfRule type="containsText" dxfId="871" priority="261" operator="containsText" text="L3 - Subprograms (in planning)">
      <formula>NOT(ISERROR(SEARCH("L3 - Subprograms (in planning)",F35)))</formula>
    </cfRule>
    <cfRule type="containsText" dxfId="870" priority="262" operator="containsText" text="L3 - Subprograms (w/plans)">
      <formula>NOT(ISERROR(SEARCH("L3 - Subprograms (w/plans)",F35)))</formula>
    </cfRule>
    <cfRule type="containsText" dxfId="869" priority="263" operator="containsText" text="L2 - Policies and Strategies REDD+ and Land-use">
      <formula>NOT(ISERROR(SEARCH("L2 - Policies and Strategies REDD+ and Land-use",F35)))</formula>
    </cfRule>
    <cfRule type="containsText" dxfId="868" priority="264" operator="containsText" text="TBD/??">
      <formula>NOT(ISERROR(SEARCH("TBD/??",F35)))</formula>
    </cfRule>
    <cfRule type="containsText" dxfId="867" priority="265" operator="containsText" text="L1 - REDD+ Program Admin and Mgt">
      <formula>NOT(ISERROR(SEARCH("L1 - REDD+ Program Admin and Mgt",F35)))</formula>
    </cfRule>
  </conditionalFormatting>
  <conditionalFormatting sqref="F88">
    <cfRule type="containsText" dxfId="866" priority="270" operator="containsText" text="L3 - Subprograms (in planning)">
      <formula>NOT(ISERROR(SEARCH("L3 - Subprograms (in planning)",F88)))</formula>
    </cfRule>
    <cfRule type="containsText" dxfId="865" priority="271" operator="containsText" text="L3 - Subprograms (w/plans)">
      <formula>NOT(ISERROR(SEARCH("L3 - Subprograms (w/plans)",F88)))</formula>
    </cfRule>
    <cfRule type="containsText" dxfId="864" priority="272" operator="containsText" text="L2 - Policies and Strategies REDD+ and Land-use">
      <formula>NOT(ISERROR(SEARCH("L2 - Policies and Strategies REDD+ and Land-use",F88)))</formula>
    </cfRule>
    <cfRule type="containsText" dxfId="863" priority="273" operator="containsText" text="TBD/??">
      <formula>NOT(ISERROR(SEARCH("TBD/??",F88)))</formula>
    </cfRule>
    <cfRule type="containsText" dxfId="862" priority="274" operator="containsText" text="L1 - REDD+ Program Admin and Mgt">
      <formula>NOT(ISERROR(SEARCH("L1 - REDD+ Program Admin and Mgt",F88)))</formula>
    </cfRule>
  </conditionalFormatting>
  <conditionalFormatting sqref="F28">
    <cfRule type="containsText" dxfId="861" priority="201" operator="containsText" text="L3 - Subprograms (in planning)">
      <formula>NOT(ISERROR(SEARCH("L3 - Subprograms (in planning)",F28)))</formula>
    </cfRule>
    <cfRule type="containsText" dxfId="860" priority="202" operator="containsText" text="L3 - Subprograms (w/plans)">
      <formula>NOT(ISERROR(SEARCH("L3 - Subprograms (w/plans)",F28)))</formula>
    </cfRule>
    <cfRule type="containsText" dxfId="859" priority="203" operator="containsText" text="L2 - Policies and Strategies REDD+ and Land-use">
      <formula>NOT(ISERROR(SEARCH("L2 - Policies and Strategies REDD+ and Land-use",F28)))</formula>
    </cfRule>
    <cfRule type="containsText" dxfId="858" priority="204" operator="containsText" text="TBD/??">
      <formula>NOT(ISERROR(SEARCH("TBD/??",F28)))</formula>
    </cfRule>
    <cfRule type="containsText" dxfId="857" priority="205" operator="containsText" text="L1 - REDD+ Program Admin and Mgt">
      <formula>NOT(ISERROR(SEARCH("L1 - REDD+ Program Admin and Mgt",F28)))</formula>
    </cfRule>
  </conditionalFormatting>
  <conditionalFormatting sqref="F40">
    <cfRule type="containsText" dxfId="856" priority="255" operator="containsText" text="L3 - Subprograms (in planning)">
      <formula>NOT(ISERROR(SEARCH("L3 - Subprograms (in planning)",F40)))</formula>
    </cfRule>
    <cfRule type="containsText" dxfId="855" priority="256" operator="containsText" text="L3 - Subprograms (w/plans)">
      <formula>NOT(ISERROR(SEARCH("L3 - Subprograms (w/plans)",F40)))</formula>
    </cfRule>
    <cfRule type="containsText" dxfId="854" priority="257" operator="containsText" text="L2 - Policies and Strategies REDD+ and Land-use">
      <formula>NOT(ISERROR(SEARCH("L2 - Policies and Strategies REDD+ and Land-use",F40)))</formula>
    </cfRule>
    <cfRule type="containsText" dxfId="853" priority="258" operator="containsText" text="TBD/??">
      <formula>NOT(ISERROR(SEARCH("TBD/??",F40)))</formula>
    </cfRule>
    <cfRule type="containsText" dxfId="852" priority="259" operator="containsText" text="L1 - REDD+ Program Admin and Mgt">
      <formula>NOT(ISERROR(SEARCH("L1 - REDD+ Program Admin and Mgt",F40)))</formula>
    </cfRule>
  </conditionalFormatting>
  <conditionalFormatting sqref="F29">
    <cfRule type="containsText" dxfId="851" priority="221" operator="containsText" text="L3 - Subprograms (in planning)">
      <formula>NOT(ISERROR(SEARCH("L3 - Subprograms (in planning)",F29)))</formula>
    </cfRule>
    <cfRule type="containsText" dxfId="850" priority="222" operator="containsText" text="L3 - Subprograms (w/plans)">
      <formula>NOT(ISERROR(SEARCH("L3 - Subprograms (w/plans)",F29)))</formula>
    </cfRule>
    <cfRule type="containsText" dxfId="849" priority="223" operator="containsText" text="L2 - Policies and Strategies REDD+ and Land-use">
      <formula>NOT(ISERROR(SEARCH("L2 - Policies and Strategies REDD+ and Land-use",F29)))</formula>
    </cfRule>
    <cfRule type="containsText" dxfId="848" priority="224" operator="containsText" text="TBD/??">
      <formula>NOT(ISERROR(SEARCH("TBD/??",F29)))</formula>
    </cfRule>
    <cfRule type="containsText" dxfId="847" priority="225" operator="containsText" text="L1 - REDD+ Program Admin and Mgt">
      <formula>NOT(ISERROR(SEARCH("L1 - REDD+ Program Admin and Mgt",F29)))</formula>
    </cfRule>
  </conditionalFormatting>
  <conditionalFormatting sqref="F83">
    <cfRule type="containsText" dxfId="846" priority="244" operator="containsText" text="L3 - Subprograms (in planning)">
      <formula>NOT(ISERROR(SEARCH("L3 - Subprograms (in planning)",F83)))</formula>
    </cfRule>
    <cfRule type="containsText" dxfId="845" priority="245" operator="containsText" text="L3 - Subprograms (w/plans)">
      <formula>NOT(ISERROR(SEARCH("L3 - Subprograms (w/plans)",F83)))</formula>
    </cfRule>
    <cfRule type="containsText" dxfId="844" priority="246" operator="containsText" text="L2 - Policies and Strategies REDD+ and Land-use">
      <formula>NOT(ISERROR(SEARCH("L2 - Policies and Strategies REDD+ and Land-use",F83)))</formula>
    </cfRule>
    <cfRule type="containsText" dxfId="843" priority="247" operator="containsText" text="TBD/??">
      <formula>NOT(ISERROR(SEARCH("TBD/??",F83)))</formula>
    </cfRule>
    <cfRule type="containsText" dxfId="842" priority="248" operator="containsText" text="L1 - REDD+ Program Admin and Mgt">
      <formula>NOT(ISERROR(SEARCH("L1 - REDD+ Program Admin and Mgt",F83)))</formula>
    </cfRule>
  </conditionalFormatting>
  <conditionalFormatting sqref="F92">
    <cfRule type="containsText" dxfId="841" priority="235" operator="containsText" text="L3 - Subprograms (in planning)">
      <formula>NOT(ISERROR(SEARCH("L3 - Subprograms (in planning)",F92)))</formula>
    </cfRule>
    <cfRule type="containsText" dxfId="840" priority="236" operator="containsText" text="L3 - Subprograms (w/plans)">
      <formula>NOT(ISERROR(SEARCH("L3 - Subprograms (w/plans)",F92)))</formula>
    </cfRule>
    <cfRule type="containsText" dxfId="839" priority="237" operator="containsText" text="L2 - Policies and Strategies REDD+ and Land-use">
      <formula>NOT(ISERROR(SEARCH("L2 - Policies and Strategies REDD+ and Land-use",F92)))</formula>
    </cfRule>
    <cfRule type="containsText" dxfId="838" priority="238" operator="containsText" text="TBD/??">
      <formula>NOT(ISERROR(SEARCH("TBD/??",F92)))</formula>
    </cfRule>
    <cfRule type="containsText" dxfId="837" priority="239" operator="containsText" text="L1 - REDD+ Program Admin and Mgt">
      <formula>NOT(ISERROR(SEARCH("L1 - REDD+ Program Admin and Mgt",F92)))</formula>
    </cfRule>
  </conditionalFormatting>
  <conditionalFormatting sqref="F93">
    <cfRule type="containsText" dxfId="836" priority="229" operator="containsText" text="L3 - Subprograms (in planning)">
      <formula>NOT(ISERROR(SEARCH("L3 - Subprograms (in planning)",F93)))</formula>
    </cfRule>
    <cfRule type="containsText" dxfId="835" priority="230" operator="containsText" text="L3 - Subprograms (w/plans)">
      <formula>NOT(ISERROR(SEARCH("L3 - Subprograms (w/plans)",F93)))</formula>
    </cfRule>
    <cfRule type="containsText" dxfId="834" priority="231" operator="containsText" text="L2 - Policies and Strategies REDD+ and Land-use">
      <formula>NOT(ISERROR(SEARCH("L2 - Policies and Strategies REDD+ and Land-use",F93)))</formula>
    </cfRule>
    <cfRule type="containsText" dxfId="833" priority="232" operator="containsText" text="TBD/??">
      <formula>NOT(ISERROR(SEARCH("TBD/??",F93)))</formula>
    </cfRule>
    <cfRule type="containsText" dxfId="832" priority="233" operator="containsText" text="L1 - REDD+ Program Admin and Mgt">
      <formula>NOT(ISERROR(SEARCH("L1 - REDD+ Program Admin and Mgt",F93)))</formula>
    </cfRule>
  </conditionalFormatting>
  <conditionalFormatting sqref="F33">
    <cfRule type="containsText" dxfId="831" priority="214" operator="containsText" text="L3 - Subprograms (in planning)">
      <formula>NOT(ISERROR(SEARCH("L3 - Subprograms (in planning)",F33)))</formula>
    </cfRule>
    <cfRule type="containsText" dxfId="830" priority="215" operator="containsText" text="L3 - Subprograms (w/plans)">
      <formula>NOT(ISERROR(SEARCH("L3 - Subprograms (w/plans)",F33)))</formula>
    </cfRule>
    <cfRule type="containsText" dxfId="829" priority="216" operator="containsText" text="L2 - Policies and Strategies REDD+ and Land-use">
      <formula>NOT(ISERROR(SEARCH("L2 - Policies and Strategies REDD+ and Land-use",F33)))</formula>
    </cfRule>
    <cfRule type="containsText" dxfId="828" priority="217" operator="containsText" text="TBD/??">
      <formula>NOT(ISERROR(SEARCH("TBD/??",F33)))</formula>
    </cfRule>
    <cfRule type="containsText" dxfId="827" priority="218" operator="containsText" text="L1 - REDD+ Program Admin and Mgt">
      <formula>NOT(ISERROR(SEARCH("L1 - REDD+ Program Admin and Mgt",F33)))</formula>
    </cfRule>
  </conditionalFormatting>
  <conditionalFormatting sqref="F75">
    <cfRule type="containsText" dxfId="826" priority="81" operator="containsText" text="L3 - Subprograms (in planning)">
      <formula>NOT(ISERROR(SEARCH("L3 - Subprograms (in planning)",F75)))</formula>
    </cfRule>
    <cfRule type="containsText" dxfId="825" priority="82" operator="containsText" text="L3 - Subprograms (w/plans)">
      <formula>NOT(ISERROR(SEARCH("L3 - Subprograms (w/plans)",F75)))</formula>
    </cfRule>
    <cfRule type="containsText" dxfId="824" priority="83" operator="containsText" text="L2 - Policies and Strategies REDD+ and Land-use">
      <formula>NOT(ISERROR(SEARCH("L2 - Policies and Strategies REDD+ and Land-use",F75)))</formula>
    </cfRule>
    <cfRule type="containsText" dxfId="823" priority="84" operator="containsText" text="TBD/??">
      <formula>NOT(ISERROR(SEARCH("TBD/??",F75)))</formula>
    </cfRule>
    <cfRule type="containsText" dxfId="822" priority="85" operator="containsText" text="L1 - REDD+ Program Admin and Mgt">
      <formula>NOT(ISERROR(SEARCH("L1 - REDD+ Program Admin and Mgt",F75)))</formula>
    </cfRule>
  </conditionalFormatting>
  <conditionalFormatting sqref="F6:F7">
    <cfRule type="containsText" dxfId="821" priority="206" operator="containsText" text="L3 - Subprograms (in planning)">
      <formula>NOT(ISERROR(SEARCH("L3 - Subprograms (in planning)",F6)))</formula>
    </cfRule>
    <cfRule type="containsText" dxfId="820" priority="207" operator="containsText" text="L3 - Subprograms (w/plans)">
      <formula>NOT(ISERROR(SEARCH("L3 - Subprograms (w/plans)",F6)))</formula>
    </cfRule>
    <cfRule type="containsText" dxfId="819" priority="208" operator="containsText" text="L2 - Policies and Strategies REDD+ and Land-use">
      <formula>NOT(ISERROR(SEARCH("L2 - Policies and Strategies REDD+ and Land-use",F6)))</formula>
    </cfRule>
    <cfRule type="containsText" dxfId="818" priority="209" operator="containsText" text="TBD/??">
      <formula>NOT(ISERROR(SEARCH("TBD/??",F6)))</formula>
    </cfRule>
    <cfRule type="containsText" dxfId="817" priority="210" operator="containsText" text="L1 - REDD+ Program Admin and Mgt">
      <formula>NOT(ISERROR(SEARCH("L1 - REDD+ Program Admin and Mgt",F6)))</formula>
    </cfRule>
  </conditionalFormatting>
  <conditionalFormatting sqref="F51">
    <cfRule type="containsText" dxfId="816" priority="196" operator="containsText" text="L3 - Subprograms (in planning)">
      <formula>NOT(ISERROR(SEARCH("L3 - Subprograms (in planning)",F51)))</formula>
    </cfRule>
    <cfRule type="containsText" dxfId="815" priority="197" operator="containsText" text="L3 - Subprograms (w/plans)">
      <formula>NOT(ISERROR(SEARCH("L3 - Subprograms (w/plans)",F51)))</formula>
    </cfRule>
    <cfRule type="containsText" dxfId="814" priority="198" operator="containsText" text="L2 - Policies and Strategies REDD+ and Land-use">
      <formula>NOT(ISERROR(SEARCH("L2 - Policies and Strategies REDD+ and Land-use",F51)))</formula>
    </cfRule>
    <cfRule type="containsText" dxfId="813" priority="199" operator="containsText" text="TBD/??">
      <formula>NOT(ISERROR(SEARCH("TBD/??",F51)))</formula>
    </cfRule>
    <cfRule type="containsText" dxfId="812" priority="200" operator="containsText" text="L1 - REDD+ Program Admin and Mgt">
      <formula>NOT(ISERROR(SEARCH("L1 - REDD+ Program Admin and Mgt",F51)))</formula>
    </cfRule>
  </conditionalFormatting>
  <conditionalFormatting sqref="F98">
    <cfRule type="containsText" dxfId="811" priority="191" operator="containsText" text="L3 - Subprograms (in planning)">
      <formula>NOT(ISERROR(SEARCH("L3 - Subprograms (in planning)",F98)))</formula>
    </cfRule>
    <cfRule type="containsText" dxfId="810" priority="192" operator="containsText" text="L3 - Subprograms (w/plans)">
      <formula>NOT(ISERROR(SEARCH("L3 - Subprograms (w/plans)",F98)))</formula>
    </cfRule>
    <cfRule type="containsText" dxfId="809" priority="193" operator="containsText" text="L2 - Policies and Strategies REDD+ and Land-use">
      <formula>NOT(ISERROR(SEARCH("L2 - Policies and Strategies REDD+ and Land-use",F98)))</formula>
    </cfRule>
    <cfRule type="containsText" dxfId="808" priority="194" operator="containsText" text="TBD/??">
      <formula>NOT(ISERROR(SEARCH("TBD/??",F98)))</formula>
    </cfRule>
    <cfRule type="containsText" dxfId="807" priority="195" operator="containsText" text="L1 - REDD+ Program Admin and Mgt">
      <formula>NOT(ISERROR(SEARCH("L1 - REDD+ Program Admin and Mgt",F98)))</formula>
    </cfRule>
  </conditionalFormatting>
  <conditionalFormatting sqref="F90">
    <cfRule type="containsText" dxfId="806" priority="161" operator="containsText" text="L3 - Subprograms (in planning)">
      <formula>NOT(ISERROR(SEARCH("L3 - Subprograms (in planning)",F90)))</formula>
    </cfRule>
    <cfRule type="containsText" dxfId="805" priority="162" operator="containsText" text="L3 - Subprograms (w/plans)">
      <formula>NOT(ISERROR(SEARCH("L3 - Subprograms (w/plans)",F90)))</formula>
    </cfRule>
    <cfRule type="containsText" dxfId="804" priority="163" operator="containsText" text="L2 - Policies and Strategies REDD+ and Land-use">
      <formula>NOT(ISERROR(SEARCH("L2 - Policies and Strategies REDD+ and Land-use",F90)))</formula>
    </cfRule>
    <cfRule type="containsText" dxfId="803" priority="164" operator="containsText" text="TBD/??">
      <formula>NOT(ISERROR(SEARCH("TBD/??",F90)))</formula>
    </cfRule>
    <cfRule type="containsText" dxfId="802" priority="165" operator="containsText" text="L1 - REDD+ Program Admin and Mgt">
      <formula>NOT(ISERROR(SEARCH("L1 - REDD+ Program Admin and Mgt",F90)))</formula>
    </cfRule>
  </conditionalFormatting>
  <conditionalFormatting sqref="F71">
    <cfRule type="containsText" dxfId="801" priority="181" operator="containsText" text="L3 - Subprograms (in planning)">
      <formula>NOT(ISERROR(SEARCH("L3 - Subprograms (in planning)",F71)))</formula>
    </cfRule>
    <cfRule type="containsText" dxfId="800" priority="182" operator="containsText" text="L3 - Subprograms (w/plans)">
      <formula>NOT(ISERROR(SEARCH("L3 - Subprograms (w/plans)",F71)))</formula>
    </cfRule>
    <cfRule type="containsText" dxfId="799" priority="183" operator="containsText" text="L2 - Policies and Strategies REDD+ and Land-use">
      <formula>NOT(ISERROR(SEARCH("L2 - Policies and Strategies REDD+ and Land-use",F71)))</formula>
    </cfRule>
    <cfRule type="containsText" dxfId="798" priority="184" operator="containsText" text="TBD/??">
      <formula>NOT(ISERROR(SEARCH("TBD/??",F71)))</formula>
    </cfRule>
    <cfRule type="containsText" dxfId="797" priority="185" operator="containsText" text="L1 - REDD+ Program Admin and Mgt">
      <formula>NOT(ISERROR(SEARCH("L1 - REDD+ Program Admin and Mgt",F71)))</formula>
    </cfRule>
  </conditionalFormatting>
  <conditionalFormatting sqref="F67">
    <cfRule type="containsText" dxfId="796" priority="186" operator="containsText" text="L3 - Subprograms (in planning)">
      <formula>NOT(ISERROR(SEARCH("L3 - Subprograms (in planning)",F67)))</formula>
    </cfRule>
    <cfRule type="containsText" dxfId="795" priority="187" operator="containsText" text="L3 - Subprograms (w/plans)">
      <formula>NOT(ISERROR(SEARCH("L3 - Subprograms (w/plans)",F67)))</formula>
    </cfRule>
    <cfRule type="containsText" dxfId="794" priority="188" operator="containsText" text="L2 - Policies and Strategies REDD+ and Land-use">
      <formula>NOT(ISERROR(SEARCH("L2 - Policies and Strategies REDD+ and Land-use",F67)))</formula>
    </cfRule>
    <cfRule type="containsText" dxfId="793" priority="189" operator="containsText" text="TBD/??">
      <formula>NOT(ISERROR(SEARCH("TBD/??",F67)))</formula>
    </cfRule>
    <cfRule type="containsText" dxfId="792" priority="190" operator="containsText" text="L1 - REDD+ Program Admin and Mgt">
      <formula>NOT(ISERROR(SEARCH("L1 - REDD+ Program Admin and Mgt",F67)))</formula>
    </cfRule>
  </conditionalFormatting>
  <conditionalFormatting sqref="F77">
    <cfRule type="containsText" dxfId="791" priority="176" operator="containsText" text="L3 - Subprograms (in planning)">
      <formula>NOT(ISERROR(SEARCH("L3 - Subprograms (in planning)",F77)))</formula>
    </cfRule>
    <cfRule type="containsText" dxfId="790" priority="177" operator="containsText" text="L3 - Subprograms (w/plans)">
      <formula>NOT(ISERROR(SEARCH("L3 - Subprograms (w/plans)",F77)))</formula>
    </cfRule>
    <cfRule type="containsText" dxfId="789" priority="178" operator="containsText" text="L2 - Policies and Strategies REDD+ and Land-use">
      <formula>NOT(ISERROR(SEARCH("L2 - Policies and Strategies REDD+ and Land-use",F77)))</formula>
    </cfRule>
    <cfRule type="containsText" dxfId="788" priority="179" operator="containsText" text="TBD/??">
      <formula>NOT(ISERROR(SEARCH("TBD/??",F77)))</formula>
    </cfRule>
    <cfRule type="containsText" dxfId="787" priority="180" operator="containsText" text="L1 - REDD+ Program Admin and Mgt">
      <formula>NOT(ISERROR(SEARCH("L1 - REDD+ Program Admin and Mgt",F77)))</formula>
    </cfRule>
  </conditionalFormatting>
  <conditionalFormatting sqref="F94">
    <cfRule type="containsText" dxfId="786" priority="171" operator="containsText" text="L3 - Subprograms (in planning)">
      <formula>NOT(ISERROR(SEARCH("L3 - Subprograms (in planning)",F94)))</formula>
    </cfRule>
    <cfRule type="containsText" dxfId="785" priority="172" operator="containsText" text="L3 - Subprograms (w/plans)">
      <formula>NOT(ISERROR(SEARCH("L3 - Subprograms (w/plans)",F94)))</formula>
    </cfRule>
    <cfRule type="containsText" dxfId="784" priority="173" operator="containsText" text="L2 - Policies and Strategies REDD+ and Land-use">
      <formula>NOT(ISERROR(SEARCH("L2 - Policies and Strategies REDD+ and Land-use",F94)))</formula>
    </cfRule>
    <cfRule type="containsText" dxfId="783" priority="174" operator="containsText" text="TBD/??">
      <formula>NOT(ISERROR(SEARCH("TBD/??",F94)))</formula>
    </cfRule>
    <cfRule type="containsText" dxfId="782" priority="175" operator="containsText" text="L1 - REDD+ Program Admin and Mgt">
      <formula>NOT(ISERROR(SEARCH("L1 - REDD+ Program Admin and Mgt",F94)))</formula>
    </cfRule>
  </conditionalFormatting>
  <conditionalFormatting sqref="F96">
    <cfRule type="containsText" dxfId="781" priority="166" operator="containsText" text="L3 - Subprograms (in planning)">
      <formula>NOT(ISERROR(SEARCH("L3 - Subprograms (in planning)",F96)))</formula>
    </cfRule>
    <cfRule type="containsText" dxfId="780" priority="167" operator="containsText" text="L3 - Subprograms (w/plans)">
      <formula>NOT(ISERROR(SEARCH("L3 - Subprograms (w/plans)",F96)))</formula>
    </cfRule>
    <cfRule type="containsText" dxfId="779" priority="168" operator="containsText" text="L2 - Policies and Strategies REDD+ and Land-use">
      <formula>NOT(ISERROR(SEARCH("L2 - Policies and Strategies REDD+ and Land-use",F96)))</formula>
    </cfRule>
    <cfRule type="containsText" dxfId="778" priority="169" operator="containsText" text="TBD/??">
      <formula>NOT(ISERROR(SEARCH("TBD/??",F96)))</formula>
    </cfRule>
    <cfRule type="containsText" dxfId="777" priority="170" operator="containsText" text="L1 - REDD+ Program Admin and Mgt">
      <formula>NOT(ISERROR(SEARCH("L1 - REDD+ Program Admin and Mgt",F96)))</formula>
    </cfRule>
  </conditionalFormatting>
  <conditionalFormatting sqref="F22">
    <cfRule type="containsText" dxfId="776" priority="156" operator="containsText" text="L3 - Subprograms (in planning)">
      <formula>NOT(ISERROR(SEARCH("L3 - Subprograms (in planning)",F22)))</formula>
    </cfRule>
    <cfRule type="containsText" dxfId="775" priority="157" operator="containsText" text="L3 - Subprograms (w/plans)">
      <formula>NOT(ISERROR(SEARCH("L3 - Subprograms (w/plans)",F22)))</formula>
    </cfRule>
    <cfRule type="containsText" dxfId="774" priority="158" operator="containsText" text="L2 - Policies and Strategies REDD+ and Land-use">
      <formula>NOT(ISERROR(SEARCH("L2 - Policies and Strategies REDD+ and Land-use",F22)))</formula>
    </cfRule>
    <cfRule type="containsText" dxfId="773" priority="159" operator="containsText" text="TBD/??">
      <formula>NOT(ISERROR(SEARCH("TBD/??",F22)))</formula>
    </cfRule>
    <cfRule type="containsText" dxfId="772" priority="160" operator="containsText" text="L1 - REDD+ Program Admin and Mgt">
      <formula>NOT(ISERROR(SEARCH("L1 - REDD+ Program Admin and Mgt",F22)))</formula>
    </cfRule>
  </conditionalFormatting>
  <conditionalFormatting sqref="F31">
    <cfRule type="containsText" dxfId="771" priority="151" operator="containsText" text="L3 - Subprograms (in planning)">
      <formula>NOT(ISERROR(SEARCH("L3 - Subprograms (in planning)",F31)))</formula>
    </cfRule>
    <cfRule type="containsText" dxfId="770" priority="152" operator="containsText" text="L3 - Subprograms (w/plans)">
      <formula>NOT(ISERROR(SEARCH("L3 - Subprograms (w/plans)",F31)))</formula>
    </cfRule>
    <cfRule type="containsText" dxfId="769" priority="153" operator="containsText" text="L2 - Policies and Strategies REDD+ and Land-use">
      <formula>NOT(ISERROR(SEARCH("L2 - Policies and Strategies REDD+ and Land-use",F31)))</formula>
    </cfRule>
    <cfRule type="containsText" dxfId="768" priority="154" operator="containsText" text="TBD/??">
      <formula>NOT(ISERROR(SEARCH("TBD/??",F31)))</formula>
    </cfRule>
    <cfRule type="containsText" dxfId="767" priority="155" operator="containsText" text="L1 - REDD+ Program Admin and Mgt">
      <formula>NOT(ISERROR(SEARCH("L1 - REDD+ Program Admin and Mgt",F31)))</formula>
    </cfRule>
  </conditionalFormatting>
  <conditionalFormatting sqref="F34">
    <cfRule type="containsText" dxfId="766" priority="146" operator="containsText" text="L3 - Subprograms (in planning)">
      <formula>NOT(ISERROR(SEARCH("L3 - Subprograms (in planning)",F34)))</formula>
    </cfRule>
    <cfRule type="containsText" dxfId="765" priority="147" operator="containsText" text="L3 - Subprograms (w/plans)">
      <formula>NOT(ISERROR(SEARCH("L3 - Subprograms (w/plans)",F34)))</formula>
    </cfRule>
    <cfRule type="containsText" dxfId="764" priority="148" operator="containsText" text="L2 - Policies and Strategies REDD+ and Land-use">
      <formula>NOT(ISERROR(SEARCH("L2 - Policies and Strategies REDD+ and Land-use",F34)))</formula>
    </cfRule>
    <cfRule type="containsText" dxfId="763" priority="149" operator="containsText" text="TBD/??">
      <formula>NOT(ISERROR(SEARCH("TBD/??",F34)))</formula>
    </cfRule>
    <cfRule type="containsText" dxfId="762" priority="150" operator="containsText" text="L1 - REDD+ Program Admin and Mgt">
      <formula>NOT(ISERROR(SEARCH("L1 - REDD+ Program Admin and Mgt",F34)))</formula>
    </cfRule>
  </conditionalFormatting>
  <conditionalFormatting sqref="F62">
    <cfRule type="containsText" dxfId="761" priority="141" operator="containsText" text="L3 - Subprograms (in planning)">
      <formula>NOT(ISERROR(SEARCH("L3 - Subprograms (in planning)",F62)))</formula>
    </cfRule>
    <cfRule type="containsText" dxfId="760" priority="142" operator="containsText" text="L3 - Subprograms (w/plans)">
      <formula>NOT(ISERROR(SEARCH("L3 - Subprograms (w/plans)",F62)))</formula>
    </cfRule>
    <cfRule type="containsText" dxfId="759" priority="143" operator="containsText" text="L2 - Policies and Strategies REDD+ and Land-use">
      <formula>NOT(ISERROR(SEARCH("L2 - Policies and Strategies REDD+ and Land-use",F62)))</formula>
    </cfRule>
    <cfRule type="containsText" dxfId="758" priority="144" operator="containsText" text="TBD/??">
      <formula>NOT(ISERROR(SEARCH("TBD/??",F62)))</formula>
    </cfRule>
    <cfRule type="containsText" dxfId="757" priority="145" operator="containsText" text="L1 - REDD+ Program Admin and Mgt">
      <formula>NOT(ISERROR(SEARCH("L1 - REDD+ Program Admin and Mgt",F62)))</formula>
    </cfRule>
  </conditionalFormatting>
  <conditionalFormatting sqref="F68">
    <cfRule type="containsText" dxfId="756" priority="136" operator="containsText" text="L3 - Subprograms (in planning)">
      <formula>NOT(ISERROR(SEARCH("L3 - Subprograms (in planning)",F68)))</formula>
    </cfRule>
    <cfRule type="containsText" dxfId="755" priority="137" operator="containsText" text="L3 - Subprograms (w/plans)">
      <formula>NOT(ISERROR(SEARCH("L3 - Subprograms (w/plans)",F68)))</formula>
    </cfRule>
    <cfRule type="containsText" dxfId="754" priority="138" operator="containsText" text="L2 - Policies and Strategies REDD+ and Land-use">
      <formula>NOT(ISERROR(SEARCH("L2 - Policies and Strategies REDD+ and Land-use",F68)))</formula>
    </cfRule>
    <cfRule type="containsText" dxfId="753" priority="139" operator="containsText" text="TBD/??">
      <formula>NOT(ISERROR(SEARCH("TBD/??",F68)))</formula>
    </cfRule>
    <cfRule type="containsText" dxfId="752" priority="140" operator="containsText" text="L1 - REDD+ Program Admin and Mgt">
      <formula>NOT(ISERROR(SEARCH("L1 - REDD+ Program Admin and Mgt",F68)))</formula>
    </cfRule>
  </conditionalFormatting>
  <conditionalFormatting sqref="F69">
    <cfRule type="containsText" dxfId="751" priority="131" operator="containsText" text="L3 - Subprograms (in planning)">
      <formula>NOT(ISERROR(SEARCH("L3 - Subprograms (in planning)",F69)))</formula>
    </cfRule>
    <cfRule type="containsText" dxfId="750" priority="132" operator="containsText" text="L3 - Subprograms (w/plans)">
      <formula>NOT(ISERROR(SEARCH("L3 - Subprograms (w/plans)",F69)))</formula>
    </cfRule>
    <cfRule type="containsText" dxfId="749" priority="133" operator="containsText" text="L2 - Policies and Strategies REDD+ and Land-use">
      <formula>NOT(ISERROR(SEARCH("L2 - Policies and Strategies REDD+ and Land-use",F69)))</formula>
    </cfRule>
    <cfRule type="containsText" dxfId="748" priority="134" operator="containsText" text="TBD/??">
      <formula>NOT(ISERROR(SEARCH("TBD/??",F69)))</formula>
    </cfRule>
    <cfRule type="containsText" dxfId="747" priority="135" operator="containsText" text="L1 - REDD+ Program Admin and Mgt">
      <formula>NOT(ISERROR(SEARCH("L1 - REDD+ Program Admin and Mgt",F69)))</formula>
    </cfRule>
  </conditionalFormatting>
  <conditionalFormatting sqref="F72">
    <cfRule type="containsText" dxfId="746" priority="126" operator="containsText" text="L3 - Subprograms (in planning)">
      <formula>NOT(ISERROR(SEARCH("L3 - Subprograms (in planning)",F72)))</formula>
    </cfRule>
    <cfRule type="containsText" dxfId="745" priority="127" operator="containsText" text="L3 - Subprograms (w/plans)">
      <formula>NOT(ISERROR(SEARCH("L3 - Subprograms (w/plans)",F72)))</formula>
    </cfRule>
    <cfRule type="containsText" dxfId="744" priority="128" operator="containsText" text="L2 - Policies and Strategies REDD+ and Land-use">
      <formula>NOT(ISERROR(SEARCH("L2 - Policies and Strategies REDD+ and Land-use",F72)))</formula>
    </cfRule>
    <cfRule type="containsText" dxfId="743" priority="129" operator="containsText" text="TBD/??">
      <formula>NOT(ISERROR(SEARCH("TBD/??",F72)))</formula>
    </cfRule>
    <cfRule type="containsText" dxfId="742" priority="130" operator="containsText" text="L1 - REDD+ Program Admin and Mgt">
      <formula>NOT(ISERROR(SEARCH("L1 - REDD+ Program Admin and Mgt",F72)))</formula>
    </cfRule>
  </conditionalFormatting>
  <conditionalFormatting sqref="F73">
    <cfRule type="containsText" dxfId="741" priority="121" operator="containsText" text="L3 - Subprograms (in planning)">
      <formula>NOT(ISERROR(SEARCH("L3 - Subprograms (in planning)",F73)))</formula>
    </cfRule>
    <cfRule type="containsText" dxfId="740" priority="122" operator="containsText" text="L3 - Subprograms (w/plans)">
      <formula>NOT(ISERROR(SEARCH("L3 - Subprograms (w/plans)",F73)))</formula>
    </cfRule>
    <cfRule type="containsText" dxfId="739" priority="123" operator="containsText" text="L2 - Policies and Strategies REDD+ and Land-use">
      <formula>NOT(ISERROR(SEARCH("L2 - Policies and Strategies REDD+ and Land-use",F73)))</formula>
    </cfRule>
    <cfRule type="containsText" dxfId="738" priority="124" operator="containsText" text="TBD/??">
      <formula>NOT(ISERROR(SEARCH("TBD/??",F73)))</formula>
    </cfRule>
    <cfRule type="containsText" dxfId="737" priority="125" operator="containsText" text="L1 - REDD+ Program Admin and Mgt">
      <formula>NOT(ISERROR(SEARCH("L1 - REDD+ Program Admin and Mgt",F73)))</formula>
    </cfRule>
  </conditionalFormatting>
  <conditionalFormatting sqref="F81">
    <cfRule type="containsText" dxfId="736" priority="116" operator="containsText" text="L3 - Subprograms (in planning)">
      <formula>NOT(ISERROR(SEARCH("L3 - Subprograms (in planning)",F81)))</formula>
    </cfRule>
    <cfRule type="containsText" dxfId="735" priority="117" operator="containsText" text="L3 - Subprograms (w/plans)">
      <formula>NOT(ISERROR(SEARCH("L3 - Subprograms (w/plans)",F81)))</formula>
    </cfRule>
    <cfRule type="containsText" dxfId="734" priority="118" operator="containsText" text="L2 - Policies and Strategies REDD+ and Land-use">
      <formula>NOT(ISERROR(SEARCH("L2 - Policies and Strategies REDD+ and Land-use",F81)))</formula>
    </cfRule>
    <cfRule type="containsText" dxfId="733" priority="119" operator="containsText" text="TBD/??">
      <formula>NOT(ISERROR(SEARCH("TBD/??",F81)))</formula>
    </cfRule>
    <cfRule type="containsText" dxfId="732" priority="120" operator="containsText" text="L1 - REDD+ Program Admin and Mgt">
      <formula>NOT(ISERROR(SEARCH("L1 - REDD+ Program Admin and Mgt",F81)))</formula>
    </cfRule>
  </conditionalFormatting>
  <conditionalFormatting sqref="F84">
    <cfRule type="containsText" dxfId="731" priority="111" operator="containsText" text="L3 - Subprograms (in planning)">
      <formula>NOT(ISERROR(SEARCH("L3 - Subprograms (in planning)",F84)))</formula>
    </cfRule>
    <cfRule type="containsText" dxfId="730" priority="112" operator="containsText" text="L3 - Subprograms (w/plans)">
      <formula>NOT(ISERROR(SEARCH("L3 - Subprograms (w/plans)",F84)))</formula>
    </cfRule>
    <cfRule type="containsText" dxfId="729" priority="113" operator="containsText" text="L2 - Policies and Strategies REDD+ and Land-use">
      <formula>NOT(ISERROR(SEARCH("L2 - Policies and Strategies REDD+ and Land-use",F84)))</formula>
    </cfRule>
    <cfRule type="containsText" dxfId="728" priority="114" operator="containsText" text="TBD/??">
      <formula>NOT(ISERROR(SEARCH("TBD/??",F84)))</formula>
    </cfRule>
    <cfRule type="containsText" dxfId="727" priority="115" operator="containsText" text="L1 - REDD+ Program Admin and Mgt">
      <formula>NOT(ISERROR(SEARCH("L1 - REDD+ Program Admin and Mgt",F84)))</formula>
    </cfRule>
  </conditionalFormatting>
  <conditionalFormatting sqref="F86">
    <cfRule type="containsText" dxfId="726" priority="106" operator="containsText" text="L3 - Subprograms (in planning)">
      <formula>NOT(ISERROR(SEARCH("L3 - Subprograms (in planning)",F86)))</formula>
    </cfRule>
    <cfRule type="containsText" dxfId="725" priority="107" operator="containsText" text="L3 - Subprograms (w/plans)">
      <formula>NOT(ISERROR(SEARCH("L3 - Subprograms (w/plans)",F86)))</formula>
    </cfRule>
    <cfRule type="containsText" dxfId="724" priority="108" operator="containsText" text="L2 - Policies and Strategies REDD+ and Land-use">
      <formula>NOT(ISERROR(SEARCH("L2 - Policies and Strategies REDD+ and Land-use",F86)))</formula>
    </cfRule>
    <cfRule type="containsText" dxfId="723" priority="109" operator="containsText" text="TBD/??">
      <formula>NOT(ISERROR(SEARCH("TBD/??",F86)))</formula>
    </cfRule>
    <cfRule type="containsText" dxfId="722" priority="110" operator="containsText" text="L1 - REDD+ Program Admin and Mgt">
      <formula>NOT(ISERROR(SEARCH("L1 - REDD+ Program Admin and Mgt",F86)))</formula>
    </cfRule>
  </conditionalFormatting>
  <conditionalFormatting sqref="F89">
    <cfRule type="containsText" dxfId="721" priority="101" operator="containsText" text="L3 - Subprograms (in planning)">
      <formula>NOT(ISERROR(SEARCH("L3 - Subprograms (in planning)",F89)))</formula>
    </cfRule>
    <cfRule type="containsText" dxfId="720" priority="102" operator="containsText" text="L3 - Subprograms (w/plans)">
      <formula>NOT(ISERROR(SEARCH("L3 - Subprograms (w/plans)",F89)))</formula>
    </cfRule>
    <cfRule type="containsText" dxfId="719" priority="103" operator="containsText" text="L2 - Policies and Strategies REDD+ and Land-use">
      <formula>NOT(ISERROR(SEARCH("L2 - Policies and Strategies REDD+ and Land-use",F89)))</formula>
    </cfRule>
    <cfRule type="containsText" dxfId="718" priority="104" operator="containsText" text="TBD/??">
      <formula>NOT(ISERROR(SEARCH("TBD/??",F89)))</formula>
    </cfRule>
    <cfRule type="containsText" dxfId="717" priority="105" operator="containsText" text="L1 - REDD+ Program Admin and Mgt">
      <formula>NOT(ISERROR(SEARCH("L1 - REDD+ Program Admin and Mgt",F89)))</formula>
    </cfRule>
  </conditionalFormatting>
  <conditionalFormatting sqref="F14:F15">
    <cfRule type="containsText" dxfId="716" priority="96" operator="containsText" text="L3 - Subprograms (in planning)">
      <formula>NOT(ISERROR(SEARCH("L3 - Subprograms (in planning)",F14)))</formula>
    </cfRule>
    <cfRule type="containsText" dxfId="715" priority="97" operator="containsText" text="L3 - Subprograms (w/plans)">
      <formula>NOT(ISERROR(SEARCH("L3 - Subprograms (w/plans)",F14)))</formula>
    </cfRule>
    <cfRule type="containsText" dxfId="714" priority="98" operator="containsText" text="L2 - Policies and Strategies REDD+ and Land-use">
      <formula>NOT(ISERROR(SEARCH("L2 - Policies and Strategies REDD+ and Land-use",F14)))</formula>
    </cfRule>
    <cfRule type="containsText" dxfId="713" priority="99" operator="containsText" text="TBD/??">
      <formula>NOT(ISERROR(SEARCH("TBD/??",F14)))</formula>
    </cfRule>
    <cfRule type="containsText" dxfId="712" priority="100" operator="containsText" text="L1 - REDD+ Program Admin and Mgt">
      <formula>NOT(ISERROR(SEARCH("L1 - REDD+ Program Admin and Mgt",F14)))</formula>
    </cfRule>
  </conditionalFormatting>
  <conditionalFormatting sqref="F24">
    <cfRule type="containsText" dxfId="711" priority="91" operator="containsText" text="L3 - Subprograms (in planning)">
      <formula>NOT(ISERROR(SEARCH("L3 - Subprograms (in planning)",F24)))</formula>
    </cfRule>
    <cfRule type="containsText" dxfId="710" priority="92" operator="containsText" text="L3 - Subprograms (w/plans)">
      <formula>NOT(ISERROR(SEARCH("L3 - Subprograms (w/plans)",F24)))</formula>
    </cfRule>
    <cfRule type="containsText" dxfId="709" priority="93" operator="containsText" text="L2 - Policies and Strategies REDD+ and Land-use">
      <formula>NOT(ISERROR(SEARCH("L2 - Policies and Strategies REDD+ and Land-use",F24)))</formula>
    </cfRule>
    <cfRule type="containsText" dxfId="708" priority="94" operator="containsText" text="TBD/??">
      <formula>NOT(ISERROR(SEARCH("TBD/??",F24)))</formula>
    </cfRule>
    <cfRule type="containsText" dxfId="707" priority="95" operator="containsText" text="L1 - REDD+ Program Admin and Mgt">
      <formula>NOT(ISERROR(SEARCH("L1 - REDD+ Program Admin and Mgt",F24)))</formula>
    </cfRule>
  </conditionalFormatting>
  <conditionalFormatting sqref="F27">
    <cfRule type="containsText" dxfId="706" priority="86" operator="containsText" text="L3 - Subprograms (in planning)">
      <formula>NOT(ISERROR(SEARCH("L3 - Subprograms (in planning)",F27)))</formula>
    </cfRule>
    <cfRule type="containsText" dxfId="705" priority="87" operator="containsText" text="L3 - Subprograms (w/plans)">
      <formula>NOT(ISERROR(SEARCH("L3 - Subprograms (w/plans)",F27)))</formula>
    </cfRule>
    <cfRule type="containsText" dxfId="704" priority="88" operator="containsText" text="L2 - Policies and Strategies REDD+ and Land-use">
      <formula>NOT(ISERROR(SEARCH("L2 - Policies and Strategies REDD+ and Land-use",F27)))</formula>
    </cfRule>
    <cfRule type="containsText" dxfId="703" priority="89" operator="containsText" text="TBD/??">
      <formula>NOT(ISERROR(SEARCH("TBD/??",F27)))</formula>
    </cfRule>
    <cfRule type="containsText" dxfId="702" priority="90" operator="containsText" text="L1 - REDD+ Program Admin and Mgt">
      <formula>NOT(ISERROR(SEARCH("L1 - REDD+ Program Admin and Mgt",F27)))</formula>
    </cfRule>
  </conditionalFormatting>
  <conditionalFormatting sqref="F10">
    <cfRule type="containsText" dxfId="701" priority="75" operator="containsText" text="L3 - Subprograms (in planning)">
      <formula>NOT(ISERROR(SEARCH("L3 - Subprograms (in planning)",F10)))</formula>
    </cfRule>
    <cfRule type="containsText" dxfId="700" priority="76" operator="containsText" text="L3 - Subprograms (w/plans)">
      <formula>NOT(ISERROR(SEARCH("L3 - Subprograms (w/plans)",F10)))</formula>
    </cfRule>
    <cfRule type="containsText" dxfId="699" priority="77" operator="containsText" text="L2 - Policies and Strategies REDD+ and Land-use">
      <formula>NOT(ISERROR(SEARCH("L2 - Policies and Strategies REDD+ and Land-use",F10)))</formula>
    </cfRule>
    <cfRule type="containsText" dxfId="698" priority="78" operator="containsText" text="TBD/??">
      <formula>NOT(ISERROR(SEARCH("TBD/??",F10)))</formula>
    </cfRule>
    <cfRule type="containsText" dxfId="697" priority="79" operator="containsText" text="L1 - REDD+ Program Admin and Mgt">
      <formula>NOT(ISERROR(SEARCH("L1 - REDD+ Program Admin and Mgt",F10)))</formula>
    </cfRule>
  </conditionalFormatting>
  <conditionalFormatting sqref="F9">
    <cfRule type="containsText" dxfId="696" priority="69" operator="containsText" text="L3 - Subprograms (in planning)">
      <formula>NOT(ISERROR(SEARCH("L3 - Subprograms (in planning)",F9)))</formula>
    </cfRule>
    <cfRule type="containsText" dxfId="695" priority="70" operator="containsText" text="L3 - Subprograms (w/plans)">
      <formula>NOT(ISERROR(SEARCH("L3 - Subprograms (w/plans)",F9)))</formula>
    </cfRule>
    <cfRule type="containsText" dxfId="694" priority="71" operator="containsText" text="L2 - Policies and Strategies REDD+ and Land-use">
      <formula>NOT(ISERROR(SEARCH("L2 - Policies and Strategies REDD+ and Land-use",F9)))</formula>
    </cfRule>
    <cfRule type="containsText" dxfId="693" priority="72" operator="containsText" text="TBD/??">
      <formula>NOT(ISERROR(SEARCH("TBD/??",F9)))</formula>
    </cfRule>
    <cfRule type="containsText" dxfId="692" priority="73" operator="containsText" text="L1 - REDD+ Program Admin and Mgt">
      <formula>NOT(ISERROR(SEARCH("L1 - REDD+ Program Admin and Mgt",F9)))</formula>
    </cfRule>
  </conditionalFormatting>
  <conditionalFormatting sqref="F79:F80">
    <cfRule type="containsText" dxfId="691" priority="64" operator="containsText" text="L3 - Subprograms (in planning)">
      <formula>NOT(ISERROR(SEARCH("L3 - Subprograms (in planning)",F79)))</formula>
    </cfRule>
    <cfRule type="containsText" dxfId="690" priority="65" operator="containsText" text="L3 - Subprograms (w/plans)">
      <formula>NOT(ISERROR(SEARCH("L3 - Subprograms (w/plans)",F79)))</formula>
    </cfRule>
    <cfRule type="containsText" dxfId="689" priority="66" operator="containsText" text="L2 - Policies and Strategies REDD+ and Land-use">
      <formula>NOT(ISERROR(SEARCH("L2 - Policies and Strategies REDD+ and Land-use",F79)))</formula>
    </cfRule>
    <cfRule type="containsText" dxfId="688" priority="67" operator="containsText" text="TBD/??">
      <formula>NOT(ISERROR(SEARCH("TBD/??",F79)))</formula>
    </cfRule>
    <cfRule type="containsText" dxfId="687" priority="68" operator="containsText" text="L1 - REDD+ Program Admin and Mgt">
      <formula>NOT(ISERROR(SEARCH("L1 - REDD+ Program Admin and Mgt",F79)))</formula>
    </cfRule>
  </conditionalFormatting>
  <conditionalFormatting sqref="F20">
    <cfRule type="containsText" dxfId="686" priority="54" operator="containsText" text="L3 - Subprograms (in planning)">
      <formula>NOT(ISERROR(SEARCH("L3 - Subprograms (in planning)",F20)))</formula>
    </cfRule>
    <cfRule type="containsText" dxfId="685" priority="55" operator="containsText" text="L3 - Subprograms (w/plans)">
      <formula>NOT(ISERROR(SEARCH("L3 - Subprograms (w/plans)",F20)))</formula>
    </cfRule>
    <cfRule type="containsText" dxfId="684" priority="56" operator="containsText" text="L2 - Policies and Strategies REDD+ and Land-use">
      <formula>NOT(ISERROR(SEARCH("L2 - Policies and Strategies REDD+ and Land-use",F20)))</formula>
    </cfRule>
    <cfRule type="containsText" dxfId="683" priority="57" operator="containsText" text="TBD/??">
      <formula>NOT(ISERROR(SEARCH("TBD/??",F20)))</formula>
    </cfRule>
    <cfRule type="containsText" dxfId="682" priority="58" operator="containsText" text="L1 - REDD+ Program Admin and Mgt">
      <formula>NOT(ISERROR(SEARCH("L1 - REDD+ Program Admin and Mgt",F20)))</formula>
    </cfRule>
  </conditionalFormatting>
  <conditionalFormatting sqref="F43">
    <cfRule type="containsText" dxfId="681" priority="49" operator="containsText" text="L3 - Subprograms (in planning)">
      <formula>NOT(ISERROR(SEARCH("L3 - Subprograms (in planning)",F43)))</formula>
    </cfRule>
    <cfRule type="containsText" dxfId="680" priority="50" operator="containsText" text="L3 - Subprograms (w/plans)">
      <formula>NOT(ISERROR(SEARCH("L3 - Subprograms (w/plans)",F43)))</formula>
    </cfRule>
    <cfRule type="containsText" dxfId="679" priority="51" operator="containsText" text="L2 - Policies and Strategies REDD+ and Land-use">
      <formula>NOT(ISERROR(SEARCH("L2 - Policies and Strategies REDD+ and Land-use",F43)))</formula>
    </cfRule>
    <cfRule type="containsText" dxfId="678" priority="52" operator="containsText" text="TBD/??">
      <formula>NOT(ISERROR(SEARCH("TBD/??",F43)))</formula>
    </cfRule>
    <cfRule type="containsText" dxfId="677" priority="53" operator="containsText" text="L1 - REDD+ Program Admin and Mgt">
      <formula>NOT(ISERROR(SEARCH("L1 - REDD+ Program Admin and Mgt",F43)))</formula>
    </cfRule>
  </conditionalFormatting>
  <conditionalFormatting sqref="F44:F45">
    <cfRule type="containsText" dxfId="676" priority="43" operator="containsText" text="L3 - Subprograms (in planning)">
      <formula>NOT(ISERROR(SEARCH("L3 - Subprograms (in planning)",F44)))</formula>
    </cfRule>
    <cfRule type="containsText" dxfId="675" priority="44" operator="containsText" text="L3 - Subprograms (w/plans)">
      <formula>NOT(ISERROR(SEARCH("L3 - Subprograms (w/plans)",F44)))</formula>
    </cfRule>
    <cfRule type="containsText" dxfId="674" priority="45" operator="containsText" text="L2 - Policies and Strategies REDD+ and Land-use">
      <formula>NOT(ISERROR(SEARCH("L2 - Policies and Strategies REDD+ and Land-use",F44)))</formula>
    </cfRule>
    <cfRule type="containsText" dxfId="673" priority="46" operator="containsText" text="TBD/??">
      <formula>NOT(ISERROR(SEARCH("TBD/??",F44)))</formula>
    </cfRule>
    <cfRule type="containsText" dxfId="672" priority="47" operator="containsText" text="L1 - REDD+ Program Admin and Mgt">
      <formula>NOT(ISERROR(SEARCH("L1 - REDD+ Program Admin and Mgt",F44)))</formula>
    </cfRule>
  </conditionalFormatting>
  <conditionalFormatting sqref="F47">
    <cfRule type="containsText" dxfId="671" priority="37" operator="containsText" text="L3 - Subprograms (in planning)">
      <formula>NOT(ISERROR(SEARCH("L3 - Subprograms (in planning)",F47)))</formula>
    </cfRule>
    <cfRule type="containsText" dxfId="670" priority="38" operator="containsText" text="L3 - Subprograms (w/plans)">
      <formula>NOT(ISERROR(SEARCH("L3 - Subprograms (w/plans)",F47)))</formula>
    </cfRule>
    <cfRule type="containsText" dxfId="669" priority="39" operator="containsText" text="L2 - Policies and Strategies REDD+ and Land-use">
      <formula>NOT(ISERROR(SEARCH("L2 - Policies and Strategies REDD+ and Land-use",F47)))</formula>
    </cfRule>
    <cfRule type="containsText" dxfId="668" priority="40" operator="containsText" text="TBD/??">
      <formula>NOT(ISERROR(SEARCH("TBD/??",F47)))</formula>
    </cfRule>
    <cfRule type="containsText" dxfId="667" priority="41" operator="containsText" text="L1 - REDD+ Program Admin and Mgt">
      <formula>NOT(ISERROR(SEARCH("L1 - REDD+ Program Admin and Mgt",F47)))</formula>
    </cfRule>
  </conditionalFormatting>
  <conditionalFormatting sqref="F53">
    <cfRule type="containsText" dxfId="666" priority="31" operator="containsText" text="L3 - Subprograms (in planning)">
      <formula>NOT(ISERROR(SEARCH("L3 - Subprograms (in planning)",F53)))</formula>
    </cfRule>
    <cfRule type="containsText" dxfId="665" priority="32" operator="containsText" text="L3 - Subprograms (w/plans)">
      <formula>NOT(ISERROR(SEARCH("L3 - Subprograms (w/plans)",F53)))</formula>
    </cfRule>
    <cfRule type="containsText" dxfId="664" priority="33" operator="containsText" text="L2 - Policies and Strategies REDD+ and Land-use">
      <formula>NOT(ISERROR(SEARCH("L2 - Policies and Strategies REDD+ and Land-use",F53)))</formula>
    </cfRule>
    <cfRule type="containsText" dxfId="663" priority="34" operator="containsText" text="TBD/??">
      <formula>NOT(ISERROR(SEARCH("TBD/??",F53)))</formula>
    </cfRule>
    <cfRule type="containsText" dxfId="662" priority="35" operator="containsText" text="L1 - REDD+ Program Admin and Mgt">
      <formula>NOT(ISERROR(SEARCH("L1 - REDD+ Program Admin and Mgt",F53)))</formula>
    </cfRule>
  </conditionalFormatting>
  <conditionalFormatting sqref="F61">
    <cfRule type="containsText" dxfId="661" priority="25" operator="containsText" text="L3 - Subprograms (in planning)">
      <formula>NOT(ISERROR(SEARCH("L3 - Subprograms (in planning)",F61)))</formula>
    </cfRule>
    <cfRule type="containsText" dxfId="660" priority="26" operator="containsText" text="L3 - Subprograms (w/plans)">
      <formula>NOT(ISERROR(SEARCH("L3 - Subprograms (w/plans)",F61)))</formula>
    </cfRule>
    <cfRule type="containsText" dxfId="659" priority="27" operator="containsText" text="L2 - Policies and Strategies REDD+ and Land-use">
      <formula>NOT(ISERROR(SEARCH("L2 - Policies and Strategies REDD+ and Land-use",F61)))</formula>
    </cfRule>
    <cfRule type="containsText" dxfId="658" priority="28" operator="containsText" text="TBD/??">
      <formula>NOT(ISERROR(SEARCH("TBD/??",F61)))</formula>
    </cfRule>
    <cfRule type="containsText" dxfId="657" priority="29" operator="containsText" text="L1 - REDD+ Program Admin and Mgt">
      <formula>NOT(ISERROR(SEARCH("L1 - REDD+ Program Admin and Mgt",F61)))</formula>
    </cfRule>
  </conditionalFormatting>
  <conditionalFormatting sqref="F17:F18">
    <cfRule type="containsText" dxfId="656" priority="16" operator="containsText" text="L3 - Subprograms (in planning)">
      <formula>NOT(ISERROR(SEARCH("L3 - Subprograms (in planning)",F17)))</formula>
    </cfRule>
    <cfRule type="containsText" dxfId="655" priority="17" operator="containsText" text="L3 - Subprograms (w/plans)">
      <formula>NOT(ISERROR(SEARCH("L3 - Subprograms (w/plans)",F17)))</formula>
    </cfRule>
    <cfRule type="containsText" dxfId="654" priority="18" operator="containsText" text="L2 - Policies and Strategies REDD+ and Land-use">
      <formula>NOT(ISERROR(SEARCH("L2 - Policies and Strategies REDD+ and Land-use",F17)))</formula>
    </cfRule>
    <cfRule type="containsText" dxfId="653" priority="19" operator="containsText" text="TBD/??">
      <formula>NOT(ISERROR(SEARCH("TBD/??",F17)))</formula>
    </cfRule>
    <cfRule type="containsText" dxfId="652" priority="20" operator="containsText" text="L1 - REDD+ Program Admin and Mgt">
      <formula>NOT(ISERROR(SEARCH("L1 - REDD+ Program Admin and Mgt",F17)))</formula>
    </cfRule>
  </conditionalFormatting>
  <conditionalFormatting sqref="F12">
    <cfRule type="containsText" dxfId="651" priority="11" operator="containsText" text="L3 - Subprograms (in planning)">
      <formula>NOT(ISERROR(SEARCH("L3 - Subprograms (in planning)",F12)))</formula>
    </cfRule>
    <cfRule type="containsText" dxfId="650" priority="12" operator="containsText" text="L3 - Subprograms (w/plans)">
      <formula>NOT(ISERROR(SEARCH("L3 - Subprograms (w/plans)",F12)))</formula>
    </cfRule>
    <cfRule type="containsText" dxfId="649" priority="13" operator="containsText" text="L2 - Policies and Strategies REDD+ and Land-use">
      <formula>NOT(ISERROR(SEARCH("L2 - Policies and Strategies REDD+ and Land-use",F12)))</formula>
    </cfRule>
    <cfRule type="containsText" dxfId="648" priority="14" operator="containsText" text="TBD/??">
      <formula>NOT(ISERROR(SEARCH("TBD/??",F12)))</formula>
    </cfRule>
    <cfRule type="containsText" dxfId="647" priority="15" operator="containsText" text="L1 - REDD+ Program Admin and Mgt">
      <formula>NOT(ISERROR(SEARCH("L1 - REDD+ Program Admin and Mgt",F12)))</formula>
    </cfRule>
  </conditionalFormatting>
  <conditionalFormatting sqref="F58">
    <cfRule type="containsText" dxfId="646" priority="6" operator="containsText" text="L3 - Subprograms (in planning)">
      <formula>NOT(ISERROR(SEARCH("L3 - Subprograms (in planning)",F58)))</formula>
    </cfRule>
    <cfRule type="containsText" dxfId="645" priority="7" operator="containsText" text="L3 - Subprograms (w/plans)">
      <formula>NOT(ISERROR(SEARCH("L3 - Subprograms (w/plans)",F58)))</formula>
    </cfRule>
    <cfRule type="containsText" dxfId="644" priority="8" operator="containsText" text="L2 - Policies and Strategies REDD+ and Land-use">
      <formula>NOT(ISERROR(SEARCH("L2 - Policies and Strategies REDD+ and Land-use",F58)))</formula>
    </cfRule>
    <cfRule type="containsText" dxfId="643" priority="9" operator="containsText" text="TBD/??">
      <formula>NOT(ISERROR(SEARCH("TBD/??",F58)))</formula>
    </cfRule>
    <cfRule type="containsText" dxfId="642" priority="10" operator="containsText" text="L1 - REDD+ Program Admin and Mgt">
      <formula>NOT(ISERROR(SEARCH("L1 - REDD+ Program Admin and Mgt",F58)))</formula>
    </cfRule>
  </conditionalFormatting>
  <conditionalFormatting sqref="F8">
    <cfRule type="containsText" dxfId="641" priority="1" operator="containsText" text="L3 - Subprograms (in planning)">
      <formula>NOT(ISERROR(SEARCH("L3 - Subprograms (in planning)",F8)))</formula>
    </cfRule>
    <cfRule type="containsText" dxfId="640" priority="2" operator="containsText" text="L3 - Subprograms (w/plans)">
      <formula>NOT(ISERROR(SEARCH("L3 - Subprograms (w/plans)",F8)))</formula>
    </cfRule>
    <cfRule type="containsText" dxfId="639" priority="3" operator="containsText" text="L2 - Policies and Strategies REDD+ and Land-use">
      <formula>NOT(ISERROR(SEARCH("L2 - Policies and Strategies REDD+ and Land-use",F8)))</formula>
    </cfRule>
    <cfRule type="containsText" dxfId="638" priority="4" operator="containsText" text="TBD/??">
      <formula>NOT(ISERROR(SEARCH("TBD/??",F8)))</formula>
    </cfRule>
    <cfRule type="containsText" dxfId="637" priority="5" operator="containsText" text="L1 - REDD+ Program Admin and Mgt">
      <formula>NOT(ISERROR(SEARCH("L1 - REDD+ Program Admin and Mgt",F8)))</formula>
    </cfRule>
  </conditionalFormatting>
  <dataValidations disablePrompts="1" count="1">
    <dataValidation type="list" allowBlank="1" showInputMessage="1" showErrorMessage="1" sqref="F49 F64 F17:F18 F96 F77 F92:F94 F24 F27:F29 F33:F35 F31 F40 F51 F83:F84 F98 F88:F90 F22 F75 F86 F67:F69 F71:F73 F6:F10 F14:F15 F12 F58 F20 F43:F45 F47 F53 F61:F62 F79:F81">
      <formula1>#REF!</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H73"/>
  <sheetViews>
    <sheetView showGridLines="0" zoomScale="86" zoomScaleNormal="86" zoomScalePageLayoutView="130" workbookViewId="0">
      <pane ySplit="3" topLeftCell="A46" activePane="bottomLeft" state="frozen"/>
      <selection pane="bottomLeft" activeCell="N1" sqref="N1:BS1048576"/>
    </sheetView>
  </sheetViews>
  <sheetFormatPr baseColWidth="10" defaultColWidth="8.7109375" defaultRowHeight="12.75" x14ac:dyDescent="0.25"/>
  <cols>
    <col min="1" max="1" width="8.28515625" style="102" customWidth="1"/>
    <col min="2" max="2" width="90.7109375" style="102" hidden="1" customWidth="1"/>
    <col min="3" max="3" width="4.85546875" style="102" hidden="1" customWidth="1"/>
    <col min="4" max="5" width="10.140625" style="102" customWidth="1"/>
    <col min="6" max="6" width="9.28515625" style="102" customWidth="1"/>
    <col min="7" max="7" width="24.140625" style="102" customWidth="1"/>
    <col min="8" max="8" width="13.28515625" style="350" hidden="1" customWidth="1"/>
    <col min="9" max="9" width="16.7109375" style="102" hidden="1" customWidth="1"/>
    <col min="10" max="12" width="18.5703125" style="102" hidden="1" customWidth="1"/>
    <col min="13" max="13" width="5.85546875" style="102" hidden="1" customWidth="1"/>
    <col min="14" max="14" width="90.7109375" style="102" customWidth="1"/>
    <col min="15" max="60" width="1.7109375" style="102" hidden="1" customWidth="1"/>
    <col min="61" max="70" width="10.7109375" style="102" hidden="1" customWidth="1"/>
    <col min="71" max="71" width="10.7109375" style="102" customWidth="1"/>
    <col min="72" max="72" width="9.140625" style="102" hidden="1" customWidth="1"/>
    <col min="73" max="74" width="9" style="102" hidden="1" customWidth="1"/>
    <col min="75" max="75" width="9.85546875" style="102" hidden="1" customWidth="1"/>
    <col min="76" max="83" width="10.7109375" style="102" hidden="1" customWidth="1"/>
    <col min="84" max="84" width="11.5703125" style="102" hidden="1" customWidth="1"/>
    <col min="85" max="85" width="10.7109375" style="102" customWidth="1"/>
    <col min="86" max="94" width="10.7109375" style="102" hidden="1" customWidth="1"/>
    <col min="95" max="95" width="10.7109375" style="102" customWidth="1"/>
    <col min="96" max="96" width="8.7109375" style="102" hidden="1" customWidth="1"/>
    <col min="97" max="97" width="9.7109375" style="102" customWidth="1"/>
    <col min="98" max="102" width="8.7109375" style="102" hidden="1" customWidth="1"/>
    <col min="103" max="103" width="12" style="102" customWidth="1"/>
    <col min="104" max="104" width="0" style="102" hidden="1" customWidth="1"/>
    <col min="105" max="16384" width="8.7109375" style="102"/>
  </cols>
  <sheetData>
    <row r="1" spans="2:105" s="103" customFormat="1" ht="24.95" customHeight="1" thickBot="1" x14ac:dyDescent="0.3">
      <c r="B1" s="371" t="s">
        <v>225</v>
      </c>
      <c r="C1" s="371"/>
      <c r="D1" s="371"/>
      <c r="E1" s="371"/>
      <c r="F1" s="371"/>
      <c r="G1" s="371"/>
      <c r="H1" s="371"/>
      <c r="N1" s="371" t="s">
        <v>389</v>
      </c>
      <c r="O1" s="587" t="s">
        <v>0</v>
      </c>
      <c r="P1" s="588"/>
      <c r="Q1" s="588"/>
      <c r="R1" s="588"/>
      <c r="S1" s="588"/>
      <c r="T1" s="588"/>
      <c r="U1" s="588"/>
      <c r="V1" s="588"/>
      <c r="W1" s="588"/>
      <c r="X1" s="588"/>
      <c r="Y1" s="588"/>
      <c r="Z1" s="588"/>
      <c r="AA1" s="588"/>
      <c r="AB1" s="588"/>
      <c r="AC1" s="588"/>
      <c r="AD1" s="588"/>
      <c r="AE1" s="589"/>
      <c r="AF1" s="590" t="s">
        <v>260</v>
      </c>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2"/>
      <c r="BF1" s="593" t="s">
        <v>261</v>
      </c>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5"/>
    </row>
    <row r="2" spans="2:105" s="103" customFormat="1" ht="29.25" customHeight="1" x14ac:dyDescent="0.25">
      <c r="B2" s="598" t="s">
        <v>408</v>
      </c>
      <c r="C2" s="372" t="s">
        <v>354</v>
      </c>
      <c r="D2" s="567" t="s">
        <v>0</v>
      </c>
      <c r="E2" s="568"/>
      <c r="F2" s="568"/>
      <c r="G2" s="569"/>
      <c r="H2" s="105" t="s">
        <v>247</v>
      </c>
      <c r="I2" s="105" t="s">
        <v>241</v>
      </c>
      <c r="J2" s="559" t="s">
        <v>251</v>
      </c>
      <c r="K2" s="560"/>
      <c r="L2" s="561"/>
      <c r="N2" s="598" t="s">
        <v>416</v>
      </c>
      <c r="O2" s="572" t="s">
        <v>263</v>
      </c>
      <c r="P2" s="576" t="s">
        <v>264</v>
      </c>
      <c r="Q2" s="576" t="s">
        <v>265</v>
      </c>
      <c r="R2" s="576"/>
      <c r="S2" s="576"/>
      <c r="T2" s="576"/>
      <c r="U2" s="576"/>
      <c r="V2" s="576"/>
      <c r="W2" s="576"/>
      <c r="X2" s="576"/>
      <c r="Y2" s="576"/>
      <c r="Z2" s="576"/>
      <c r="AA2" s="576"/>
      <c r="AB2" s="576"/>
      <c r="AC2" s="576"/>
      <c r="AD2" s="576"/>
      <c r="AE2" s="577"/>
      <c r="AF2" s="562" t="s">
        <v>266</v>
      </c>
      <c r="AG2" s="563" t="s">
        <v>267</v>
      </c>
      <c r="AH2" s="563" t="s">
        <v>268</v>
      </c>
      <c r="AI2" s="563" t="s">
        <v>269</v>
      </c>
      <c r="AJ2" s="578" t="s">
        <v>270</v>
      </c>
      <c r="AK2" s="579"/>
      <c r="AL2" s="579"/>
      <c r="AM2" s="579"/>
      <c r="AN2" s="579"/>
      <c r="AO2" s="579"/>
      <c r="AP2" s="579"/>
      <c r="AQ2" s="579"/>
      <c r="AR2" s="579"/>
      <c r="AS2" s="579"/>
      <c r="AT2" s="580"/>
      <c r="AU2" s="578" t="s">
        <v>271</v>
      </c>
      <c r="AV2" s="579"/>
      <c r="AW2" s="579"/>
      <c r="AX2" s="579"/>
      <c r="AY2" s="579"/>
      <c r="AZ2" s="579"/>
      <c r="BA2" s="579"/>
      <c r="BB2" s="579"/>
      <c r="BC2" s="579"/>
      <c r="BD2" s="579"/>
      <c r="BE2" s="580"/>
      <c r="BF2" s="573" t="s">
        <v>272</v>
      </c>
      <c r="BG2" s="571" t="s">
        <v>273</v>
      </c>
      <c r="BH2" s="571" t="s">
        <v>274</v>
      </c>
      <c r="BI2" s="581" t="s">
        <v>275</v>
      </c>
      <c r="BJ2" s="519"/>
      <c r="BK2" s="520"/>
      <c r="BL2" s="520"/>
      <c r="BM2" s="520"/>
      <c r="BN2" s="520"/>
      <c r="BO2" s="520"/>
      <c r="BP2" s="520"/>
      <c r="BQ2" s="520"/>
      <c r="BR2" s="520"/>
      <c r="BS2" s="596" t="s">
        <v>762</v>
      </c>
      <c r="BT2" s="602" t="s">
        <v>277</v>
      </c>
      <c r="BU2" s="584"/>
      <c r="BV2" s="584"/>
      <c r="BW2" s="585"/>
      <c r="BX2" s="521"/>
      <c r="BY2" s="520"/>
      <c r="BZ2" s="520"/>
      <c r="CA2" s="520"/>
      <c r="CB2" s="520"/>
      <c r="CC2" s="520"/>
      <c r="CD2" s="520"/>
      <c r="CE2" s="520"/>
      <c r="CF2" s="520"/>
      <c r="CG2" s="600" t="s">
        <v>763</v>
      </c>
      <c r="CH2" s="520"/>
      <c r="CI2" s="520"/>
      <c r="CJ2" s="520"/>
      <c r="CK2" s="520"/>
      <c r="CL2" s="520"/>
      <c r="CM2" s="520"/>
      <c r="CN2" s="520"/>
      <c r="CO2" s="520"/>
      <c r="CP2" s="520"/>
      <c r="CQ2" s="600" t="s">
        <v>297</v>
      </c>
      <c r="CR2" s="583" t="s">
        <v>280</v>
      </c>
      <c r="CS2" s="584"/>
      <c r="CT2" s="584"/>
      <c r="CU2" s="584"/>
      <c r="CV2" s="584"/>
      <c r="CW2" s="584"/>
      <c r="CX2" s="584"/>
      <c r="CY2" s="584"/>
      <c r="CZ2" s="586"/>
    </row>
    <row r="3" spans="2:105" s="103" customFormat="1" ht="46.5" customHeight="1" x14ac:dyDescent="0.25">
      <c r="B3" s="599"/>
      <c r="C3" s="373"/>
      <c r="D3" s="527" t="s">
        <v>143</v>
      </c>
      <c r="E3" s="528" t="s">
        <v>417</v>
      </c>
      <c r="F3" s="528" t="s">
        <v>418</v>
      </c>
      <c r="G3" s="529" t="s">
        <v>142</v>
      </c>
      <c r="H3" s="110" t="s">
        <v>243</v>
      </c>
      <c r="I3" s="110" t="s">
        <v>224</v>
      </c>
      <c r="J3" s="562" t="s">
        <v>252</v>
      </c>
      <c r="K3" s="563"/>
      <c r="L3" s="564"/>
      <c r="N3" s="599"/>
      <c r="O3" s="572"/>
      <c r="P3" s="576"/>
      <c r="Q3" s="374" t="s">
        <v>1</v>
      </c>
      <c r="R3" s="374" t="s">
        <v>2</v>
      </c>
      <c r="S3" s="374" t="s">
        <v>281</v>
      </c>
      <c r="T3" s="374" t="s">
        <v>3</v>
      </c>
      <c r="U3" s="374" t="s">
        <v>282</v>
      </c>
      <c r="V3" s="374" t="s">
        <v>283</v>
      </c>
      <c r="W3" s="374" t="s">
        <v>4</v>
      </c>
      <c r="X3" s="374" t="s">
        <v>284</v>
      </c>
      <c r="Y3" s="374" t="s">
        <v>285</v>
      </c>
      <c r="Z3" s="374" t="s">
        <v>286</v>
      </c>
      <c r="AA3" s="374" t="s">
        <v>287</v>
      </c>
      <c r="AB3" s="374" t="s">
        <v>5</v>
      </c>
      <c r="AC3" s="374" t="s">
        <v>288</v>
      </c>
      <c r="AD3" s="374" t="s">
        <v>6</v>
      </c>
      <c r="AE3" s="375" t="s">
        <v>289</v>
      </c>
      <c r="AF3" s="562"/>
      <c r="AG3" s="563"/>
      <c r="AH3" s="563"/>
      <c r="AI3" s="563"/>
      <c r="AJ3" s="113">
        <v>2017</v>
      </c>
      <c r="AK3" s="113">
        <v>2018</v>
      </c>
      <c r="AL3" s="113">
        <v>2019</v>
      </c>
      <c r="AM3" s="113">
        <v>2020</v>
      </c>
      <c r="AN3" s="113">
        <v>2021</v>
      </c>
      <c r="AO3" s="113">
        <v>2022</v>
      </c>
      <c r="AP3" s="113">
        <v>2023</v>
      </c>
      <c r="AQ3" s="113">
        <v>2024</v>
      </c>
      <c r="AR3" s="113">
        <v>2025</v>
      </c>
      <c r="AS3" s="113" t="s">
        <v>290</v>
      </c>
      <c r="AT3" s="113" t="s">
        <v>291</v>
      </c>
      <c r="AU3" s="113">
        <v>2017</v>
      </c>
      <c r="AV3" s="113">
        <v>2018</v>
      </c>
      <c r="AW3" s="113">
        <v>2019</v>
      </c>
      <c r="AX3" s="113">
        <v>2020</v>
      </c>
      <c r="AY3" s="113">
        <v>2021</v>
      </c>
      <c r="AZ3" s="113">
        <v>2022</v>
      </c>
      <c r="BA3" s="113">
        <v>2023</v>
      </c>
      <c r="BB3" s="113">
        <v>2024</v>
      </c>
      <c r="BC3" s="113">
        <v>2025</v>
      </c>
      <c r="BD3" s="113" t="s">
        <v>290</v>
      </c>
      <c r="BE3" s="113" t="s">
        <v>291</v>
      </c>
      <c r="BF3" s="573"/>
      <c r="BG3" s="571"/>
      <c r="BH3" s="571"/>
      <c r="BI3" s="582"/>
      <c r="BJ3" s="526">
        <v>2017</v>
      </c>
      <c r="BK3" s="526">
        <v>2018</v>
      </c>
      <c r="BL3" s="526">
        <v>2019</v>
      </c>
      <c r="BM3" s="526">
        <v>2020</v>
      </c>
      <c r="BN3" s="526">
        <v>2021</v>
      </c>
      <c r="BO3" s="526">
        <v>2022</v>
      </c>
      <c r="BP3" s="526">
        <v>2023</v>
      </c>
      <c r="BQ3" s="526">
        <v>2024</v>
      </c>
      <c r="BR3" s="526">
        <v>2025</v>
      </c>
      <c r="BS3" s="597"/>
      <c r="BT3" s="526" t="s">
        <v>760</v>
      </c>
      <c r="BU3" s="526" t="s">
        <v>294</v>
      </c>
      <c r="BV3" s="526" t="s">
        <v>759</v>
      </c>
      <c r="BW3" s="116" t="s">
        <v>761</v>
      </c>
      <c r="BX3" s="114">
        <v>2017</v>
      </c>
      <c r="BY3" s="526">
        <v>2018</v>
      </c>
      <c r="BZ3" s="526">
        <v>2019</v>
      </c>
      <c r="CA3" s="526">
        <v>2020</v>
      </c>
      <c r="CB3" s="526">
        <v>2021</v>
      </c>
      <c r="CC3" s="526">
        <v>2022</v>
      </c>
      <c r="CD3" s="526">
        <v>2023</v>
      </c>
      <c r="CE3" s="526">
        <v>2024</v>
      </c>
      <c r="CF3" s="530">
        <v>2025</v>
      </c>
      <c r="CG3" s="601"/>
      <c r="CH3" s="531">
        <v>2017</v>
      </c>
      <c r="CI3" s="120">
        <v>2018</v>
      </c>
      <c r="CJ3" s="120">
        <v>2019</v>
      </c>
      <c r="CK3" s="120">
        <v>2020</v>
      </c>
      <c r="CL3" s="120">
        <v>2021</v>
      </c>
      <c r="CM3" s="120">
        <v>2022</v>
      </c>
      <c r="CN3" s="120">
        <v>2023</v>
      </c>
      <c r="CO3" s="120">
        <v>2024</v>
      </c>
      <c r="CP3" s="120">
        <v>2025</v>
      </c>
      <c r="CQ3" s="601"/>
      <c r="CR3" s="114" t="s">
        <v>298</v>
      </c>
      <c r="CS3" s="526" t="s">
        <v>299</v>
      </c>
      <c r="CT3" s="526" t="s">
        <v>300</v>
      </c>
      <c r="CU3" s="526" t="s">
        <v>301</v>
      </c>
      <c r="CV3" s="526" t="s">
        <v>302</v>
      </c>
      <c r="CW3" s="526" t="s">
        <v>303</v>
      </c>
      <c r="CX3" s="526" t="s">
        <v>304</v>
      </c>
      <c r="CY3" s="526" t="s">
        <v>305</v>
      </c>
      <c r="CZ3" s="122" t="s">
        <v>306</v>
      </c>
    </row>
    <row r="4" spans="2:105" s="103" customFormat="1" ht="26.1" customHeight="1" x14ac:dyDescent="0.25">
      <c r="B4" s="163" t="s">
        <v>75</v>
      </c>
      <c r="C4" s="164" t="s">
        <v>356</v>
      </c>
      <c r="D4" s="74" t="s">
        <v>6</v>
      </c>
      <c r="E4" s="535" t="s">
        <v>431</v>
      </c>
      <c r="F4" s="75" t="s">
        <v>76</v>
      </c>
      <c r="G4" s="90" t="s">
        <v>127</v>
      </c>
      <c r="H4" s="79"/>
      <c r="I4" s="79" t="s">
        <v>229</v>
      </c>
      <c r="J4" s="165"/>
      <c r="K4" s="166"/>
      <c r="L4" s="167"/>
      <c r="M4" s="102"/>
      <c r="N4" s="163" t="s">
        <v>75</v>
      </c>
      <c r="O4" s="74" t="s">
        <v>6</v>
      </c>
      <c r="P4" s="75" t="s">
        <v>76</v>
      </c>
      <c r="Q4" s="90"/>
      <c r="R4" s="90" t="s">
        <v>314</v>
      </c>
      <c r="S4" s="90"/>
      <c r="T4" s="90" t="s">
        <v>314</v>
      </c>
      <c r="U4" s="90"/>
      <c r="V4" s="90"/>
      <c r="W4" s="90" t="s">
        <v>314</v>
      </c>
      <c r="X4" s="90"/>
      <c r="Y4" s="90"/>
      <c r="Z4" s="90"/>
      <c r="AA4" s="90"/>
      <c r="AB4" s="90"/>
      <c r="AC4" s="90"/>
      <c r="AD4" s="90" t="s">
        <v>307</v>
      </c>
      <c r="AE4" s="537" t="s">
        <v>314</v>
      </c>
      <c r="AF4" s="74" t="s">
        <v>315</v>
      </c>
      <c r="AG4" s="169" t="s">
        <v>319</v>
      </c>
      <c r="AH4" s="97" t="s">
        <v>422</v>
      </c>
      <c r="AI4" s="170"/>
      <c r="AJ4" s="170">
        <v>0</v>
      </c>
      <c r="AK4" s="170">
        <v>0</v>
      </c>
      <c r="AL4" s="170">
        <v>0</v>
      </c>
      <c r="AM4" s="170">
        <v>0.5</v>
      </c>
      <c r="AN4" s="170">
        <v>0</v>
      </c>
      <c r="AO4" s="170">
        <v>0</v>
      </c>
      <c r="AP4" s="170">
        <v>0</v>
      </c>
      <c r="AQ4" s="170">
        <v>0</v>
      </c>
      <c r="AR4" s="170">
        <v>0</v>
      </c>
      <c r="AS4" s="170"/>
      <c r="AT4" s="170"/>
      <c r="AU4" s="170">
        <v>0</v>
      </c>
      <c r="AV4" s="170">
        <v>0</v>
      </c>
      <c r="AW4" s="170">
        <v>0</v>
      </c>
      <c r="AX4" s="170">
        <v>1</v>
      </c>
      <c r="AY4" s="170">
        <v>0</v>
      </c>
      <c r="AZ4" s="170">
        <v>0</v>
      </c>
      <c r="BA4" s="170">
        <v>0</v>
      </c>
      <c r="BB4" s="170">
        <v>0</v>
      </c>
      <c r="BC4" s="170">
        <v>0</v>
      </c>
      <c r="BD4" s="170"/>
      <c r="BE4" s="260"/>
      <c r="BF4" s="165" t="s">
        <v>330</v>
      </c>
      <c r="BG4" s="534" t="s">
        <v>423</v>
      </c>
      <c r="BH4" s="75" t="s">
        <v>323</v>
      </c>
      <c r="BI4" s="488">
        <f>+'Info recibida'!BJ79/550</f>
        <v>0</v>
      </c>
      <c r="BJ4" s="174">
        <f>+'Info recibida'!BK79/550</f>
        <v>235000</v>
      </c>
      <c r="BK4" s="174">
        <f>+'Info recibida'!BL79/550</f>
        <v>235000</v>
      </c>
      <c r="BL4" s="174">
        <f>+'Info recibida'!BM79/550</f>
        <v>181666.66666666672</v>
      </c>
      <c r="BM4" s="174">
        <f>+'Info recibida'!BN79/550</f>
        <v>128333.33333333327</v>
      </c>
      <c r="BN4" s="174">
        <f>+'Info recibida'!BO79/550</f>
        <v>75000</v>
      </c>
      <c r="BO4" s="174">
        <f>+'Info recibida'!BP79/550</f>
        <v>75000</v>
      </c>
      <c r="BP4" s="174">
        <f>+'Info recibida'!BQ79/550</f>
        <v>75000</v>
      </c>
      <c r="BQ4" s="174">
        <f>+'Info recibida'!BR79/550</f>
        <v>75000</v>
      </c>
      <c r="BR4" s="174">
        <f>+'Info recibida'!BS79/550</f>
        <v>75000</v>
      </c>
      <c r="BS4" s="174">
        <f>+'Info recibida'!BT79/550</f>
        <v>1155000</v>
      </c>
      <c r="BT4" s="539">
        <f>75000/555000</f>
        <v>0.13513513513513514</v>
      </c>
      <c r="BU4" s="75" t="s">
        <v>424</v>
      </c>
      <c r="BV4" s="539">
        <f>480000/555000</f>
        <v>0.86486486486486491</v>
      </c>
      <c r="BW4" s="178" t="s">
        <v>425</v>
      </c>
      <c r="BX4" s="173">
        <f>+'Info recibida'!BY79/550</f>
        <v>565600</v>
      </c>
      <c r="BY4" s="174">
        <f>+'Info recibida'!BZ79/550</f>
        <v>786000</v>
      </c>
      <c r="BZ4" s="174">
        <f>+'Info recibida'!CA79/550</f>
        <v>402066.66666666669</v>
      </c>
      <c r="CA4" s="174">
        <f>+'Info recibida'!CB79/550</f>
        <v>128333.33333333327</v>
      </c>
      <c r="CB4" s="174">
        <f>+'Info recibida'!CC79/550</f>
        <v>75000</v>
      </c>
      <c r="CC4" s="174">
        <f>+'Info recibida'!CD79/550</f>
        <v>75000</v>
      </c>
      <c r="CD4" s="174">
        <f>+'Info recibida'!CE79/550</f>
        <v>75000</v>
      </c>
      <c r="CE4" s="174">
        <f>+'Info recibida'!CF79/550</f>
        <v>75000</v>
      </c>
      <c r="CF4" s="498">
        <f>+'Info recibida'!CG79/550</f>
        <v>75000</v>
      </c>
      <c r="CG4" s="175">
        <f>SUM(BX4:CF4)</f>
        <v>2257000</v>
      </c>
      <c r="CH4" s="173">
        <f>+'Info recibida'!CH79/550</f>
        <v>330600</v>
      </c>
      <c r="CI4" s="174">
        <f>+'Info recibida'!CI79/550</f>
        <v>551000</v>
      </c>
      <c r="CJ4" s="174">
        <f>+'Info recibida'!CJ79/550</f>
        <v>220400</v>
      </c>
      <c r="CK4" s="174">
        <f>+'Info recibida'!CK79/550</f>
        <v>0</v>
      </c>
      <c r="CL4" s="174">
        <f>+'Info recibida'!CL79/550</f>
        <v>0</v>
      </c>
      <c r="CM4" s="174">
        <f>+'Info recibida'!CM79/550</f>
        <v>0</v>
      </c>
      <c r="CN4" s="174">
        <f>+'Info recibida'!CN79/550</f>
        <v>0</v>
      </c>
      <c r="CO4" s="174">
        <f>+'Info recibida'!CO79/550</f>
        <v>0</v>
      </c>
      <c r="CP4" s="174">
        <f>+'Info recibida'!CP79/550</f>
        <v>0</v>
      </c>
      <c r="CQ4" s="175">
        <f>+'Info recibida'!CQ79/550</f>
        <v>1102000</v>
      </c>
      <c r="CR4" s="84"/>
      <c r="CS4" s="180">
        <f>135000+967000</f>
        <v>1102000</v>
      </c>
      <c r="CT4" s="180" t="s">
        <v>426</v>
      </c>
      <c r="CU4" s="169"/>
      <c r="CV4" s="169"/>
      <c r="CW4" s="169"/>
      <c r="CX4" s="169"/>
      <c r="CY4" s="181">
        <f>+'Info recibida'!CY79/550</f>
        <v>0</v>
      </c>
      <c r="CZ4" s="182"/>
      <c r="DA4" s="512"/>
    </row>
    <row r="5" spans="2:105" s="103" customFormat="1" ht="26.1" customHeight="1" x14ac:dyDescent="0.25">
      <c r="B5" s="184" t="s">
        <v>19</v>
      </c>
      <c r="C5" s="185" t="s">
        <v>357</v>
      </c>
      <c r="D5" s="74" t="s">
        <v>492</v>
      </c>
      <c r="E5" s="75" t="s">
        <v>403</v>
      </c>
      <c r="F5" s="75" t="s">
        <v>393</v>
      </c>
      <c r="G5" s="90" t="s">
        <v>105</v>
      </c>
      <c r="H5" s="82" t="s">
        <v>245</v>
      </c>
      <c r="I5" s="82" t="s">
        <v>231</v>
      </c>
      <c r="J5" s="186"/>
      <c r="K5" s="187"/>
      <c r="L5" s="188"/>
      <c r="M5" s="102"/>
      <c r="N5" s="184" t="s">
        <v>19</v>
      </c>
      <c r="O5" s="80" t="s">
        <v>413</v>
      </c>
      <c r="P5" s="81" t="s">
        <v>403</v>
      </c>
      <c r="Q5" s="536" t="s">
        <v>314</v>
      </c>
      <c r="R5" s="536" t="s">
        <v>314</v>
      </c>
      <c r="S5" s="536" t="s">
        <v>314</v>
      </c>
      <c r="T5" s="536"/>
      <c r="U5" s="536"/>
      <c r="V5" s="536"/>
      <c r="W5" s="536" t="s">
        <v>307</v>
      </c>
      <c r="X5" s="536" t="s">
        <v>314</v>
      </c>
      <c r="Y5" s="536" t="s">
        <v>314</v>
      </c>
      <c r="Z5" s="536"/>
      <c r="AA5" s="536"/>
      <c r="AB5" s="536" t="s">
        <v>314</v>
      </c>
      <c r="AC5" s="536" t="s">
        <v>314</v>
      </c>
      <c r="AD5" s="536"/>
      <c r="AE5" s="538"/>
      <c r="AF5" s="80" t="s">
        <v>315</v>
      </c>
      <c r="AG5" s="190" t="s">
        <v>339</v>
      </c>
      <c r="AH5" s="68" t="s">
        <v>340</v>
      </c>
      <c r="AI5" s="170"/>
      <c r="AJ5" s="170">
        <v>0</v>
      </c>
      <c r="AK5" s="170">
        <v>0</v>
      </c>
      <c r="AL5" s="170">
        <v>0</v>
      </c>
      <c r="AM5" s="170">
        <v>0</v>
      </c>
      <c r="AN5" s="170">
        <v>0</v>
      </c>
      <c r="AO5" s="170">
        <v>0</v>
      </c>
      <c r="AP5" s="170">
        <v>0</v>
      </c>
      <c r="AQ5" s="170">
        <v>0</v>
      </c>
      <c r="AR5" s="170">
        <v>0</v>
      </c>
      <c r="AS5" s="170"/>
      <c r="AT5" s="170"/>
      <c r="AU5" s="170"/>
      <c r="AV5" s="170">
        <v>2</v>
      </c>
      <c r="AW5" s="170">
        <v>0</v>
      </c>
      <c r="AX5" s="170">
        <v>0</v>
      </c>
      <c r="AY5" s="170">
        <v>0</v>
      </c>
      <c r="AZ5" s="170">
        <v>0</v>
      </c>
      <c r="BA5" s="170">
        <v>0</v>
      </c>
      <c r="BB5" s="170">
        <v>0</v>
      </c>
      <c r="BC5" s="170">
        <v>0</v>
      </c>
      <c r="BD5" s="170"/>
      <c r="BE5" s="260"/>
      <c r="BF5" s="186" t="s">
        <v>311</v>
      </c>
      <c r="BG5" s="191" t="s">
        <v>349</v>
      </c>
      <c r="BH5" s="81" t="s">
        <v>313</v>
      </c>
      <c r="BI5" s="489">
        <f>+'Info recibida'!BJ22/550</f>
        <v>0</v>
      </c>
      <c r="BJ5" s="194">
        <f>+'Info recibida'!BK22/550</f>
        <v>0</v>
      </c>
      <c r="BK5" s="194">
        <f>+'Info recibida'!BL22/550</f>
        <v>0</v>
      </c>
      <c r="BL5" s="194">
        <f>+'Info recibida'!BM22/550</f>
        <v>0</v>
      </c>
      <c r="BM5" s="194">
        <f>+'Info recibida'!BN22/550</f>
        <v>0</v>
      </c>
      <c r="BN5" s="194">
        <f>+'Info recibida'!BO22/550</f>
        <v>0</v>
      </c>
      <c r="BO5" s="194">
        <f>+'Info recibida'!BP22/550</f>
        <v>0</v>
      </c>
      <c r="BP5" s="194">
        <f>+'Info recibida'!BQ22/550</f>
        <v>0</v>
      </c>
      <c r="BQ5" s="194">
        <f>+'Info recibida'!BR22/550</f>
        <v>0</v>
      </c>
      <c r="BR5" s="194">
        <f>+'Info recibida'!BS22/550</f>
        <v>0</v>
      </c>
      <c r="BS5" s="194">
        <f>+'Info recibida'!BT22/550</f>
        <v>0</v>
      </c>
      <c r="BT5" s="81"/>
      <c r="BU5" s="81"/>
      <c r="BV5" s="81"/>
      <c r="BW5" s="198"/>
      <c r="BX5" s="193">
        <f>+'Info recibida'!BY22/550</f>
        <v>200000</v>
      </c>
      <c r="BY5" s="194">
        <f>+'Info recibida'!BZ22/550</f>
        <v>0</v>
      </c>
      <c r="BZ5" s="194">
        <f>+'Info recibida'!CA22/550</f>
        <v>0</v>
      </c>
      <c r="CA5" s="194">
        <f>+'Info recibida'!CB22/550</f>
        <v>0</v>
      </c>
      <c r="CB5" s="194">
        <f>+'Info recibida'!CC22/550</f>
        <v>0</v>
      </c>
      <c r="CC5" s="194">
        <f>+'Info recibida'!CD22/550</f>
        <v>0</v>
      </c>
      <c r="CD5" s="194">
        <f>+'Info recibida'!CE22/550</f>
        <v>0</v>
      </c>
      <c r="CE5" s="194">
        <f>+'Info recibida'!CF22/550</f>
        <v>0</v>
      </c>
      <c r="CF5" s="499">
        <f>+'Info recibida'!CG22/550</f>
        <v>0</v>
      </c>
      <c r="CG5" s="195">
        <f>SUM(BX5:CF5)</f>
        <v>200000</v>
      </c>
      <c r="CH5" s="193">
        <f>+'Info recibida'!CH22/550</f>
        <v>200000</v>
      </c>
      <c r="CI5" s="194">
        <f>+'Info recibida'!CI22/550</f>
        <v>0</v>
      </c>
      <c r="CJ5" s="194">
        <f>+'Info recibida'!CJ22/550</f>
        <v>0</v>
      </c>
      <c r="CK5" s="194">
        <f>+'Info recibida'!CK22/550</f>
        <v>0</v>
      </c>
      <c r="CL5" s="194">
        <f>+'Info recibida'!CL22/550</f>
        <v>0</v>
      </c>
      <c r="CM5" s="194">
        <f>+'Info recibida'!CM22/550</f>
        <v>0</v>
      </c>
      <c r="CN5" s="194">
        <f>+'Info recibida'!CN22/550</f>
        <v>0</v>
      </c>
      <c r="CO5" s="194">
        <f>+'Info recibida'!CO22/550</f>
        <v>0</v>
      </c>
      <c r="CP5" s="194">
        <f>+'Info recibida'!CP22/550</f>
        <v>0</v>
      </c>
      <c r="CQ5" s="195">
        <f>+'Info recibida'!CQ22/550</f>
        <v>200000</v>
      </c>
      <c r="CR5" s="86"/>
      <c r="CS5" s="200">
        <v>200000</v>
      </c>
      <c r="CT5" s="87" t="s">
        <v>421</v>
      </c>
      <c r="CU5" s="190"/>
      <c r="CV5" s="190"/>
      <c r="CW5" s="190"/>
      <c r="CX5" s="190"/>
      <c r="CY5" s="201">
        <f>+'Info recibida'!CY22/550</f>
        <v>0</v>
      </c>
      <c r="CZ5" s="202"/>
      <c r="DA5" s="512"/>
    </row>
    <row r="6" spans="2:105" s="103" customFormat="1" ht="26.1" customHeight="1" x14ac:dyDescent="0.25">
      <c r="B6" s="204" t="s">
        <v>13</v>
      </c>
      <c r="C6" s="205" t="s">
        <v>357</v>
      </c>
      <c r="D6" s="47" t="s">
        <v>463</v>
      </c>
      <c r="E6" s="50" t="s">
        <v>464</v>
      </c>
      <c r="F6" s="48" t="s">
        <v>465</v>
      </c>
      <c r="G6" s="50" t="s">
        <v>103</v>
      </c>
      <c r="H6" s="49"/>
      <c r="I6" s="49" t="s">
        <v>230</v>
      </c>
      <c r="J6" s="206"/>
      <c r="K6" s="207"/>
      <c r="L6" s="208"/>
      <c r="M6" s="102"/>
      <c r="N6" s="237" t="s">
        <v>459</v>
      </c>
      <c r="O6" s="47" t="s">
        <v>463</v>
      </c>
      <c r="P6" s="48" t="s">
        <v>398</v>
      </c>
      <c r="Q6" s="48"/>
      <c r="R6" s="48" t="s">
        <v>307</v>
      </c>
      <c r="S6" s="48"/>
      <c r="T6" s="48" t="s">
        <v>314</v>
      </c>
      <c r="U6" s="48"/>
      <c r="V6" s="48"/>
      <c r="W6" s="48"/>
      <c r="X6" s="48"/>
      <c r="Y6" s="48"/>
      <c r="Z6" s="48"/>
      <c r="AA6" s="48" t="s">
        <v>314</v>
      </c>
      <c r="AB6" s="48"/>
      <c r="AC6" s="48"/>
      <c r="AD6" s="48"/>
      <c r="AE6" s="209"/>
      <c r="AF6" s="47"/>
      <c r="AG6" s="210"/>
      <c r="AH6" s="377" t="s">
        <v>460</v>
      </c>
      <c r="AI6" s="170"/>
      <c r="AJ6" s="170">
        <v>0</v>
      </c>
      <c r="AK6" s="170">
        <v>0</v>
      </c>
      <c r="AL6" s="170">
        <v>0</v>
      </c>
      <c r="AM6" s="170">
        <v>0</v>
      </c>
      <c r="AN6" s="170">
        <v>0</v>
      </c>
      <c r="AO6" s="170">
        <v>0</v>
      </c>
      <c r="AP6" s="170">
        <v>0</v>
      </c>
      <c r="AQ6" s="170">
        <v>0</v>
      </c>
      <c r="AR6" s="170">
        <v>0</v>
      </c>
      <c r="AS6" s="170"/>
      <c r="AT6" s="170"/>
      <c r="AU6" s="170">
        <v>0</v>
      </c>
      <c r="AV6" s="170">
        <v>1</v>
      </c>
      <c r="AW6" s="170">
        <v>0</v>
      </c>
      <c r="AX6" s="170">
        <v>0</v>
      </c>
      <c r="AY6" s="170">
        <v>0</v>
      </c>
      <c r="AZ6" s="170">
        <v>0</v>
      </c>
      <c r="BA6" s="170">
        <v>0</v>
      </c>
      <c r="BB6" s="170">
        <v>0</v>
      </c>
      <c r="BC6" s="170">
        <v>0</v>
      </c>
      <c r="BD6" s="48"/>
      <c r="BE6" s="48"/>
      <c r="BF6" s="206"/>
      <c r="BG6" s="68" t="s">
        <v>349</v>
      </c>
      <c r="BH6" s="48" t="s">
        <v>313</v>
      </c>
      <c r="BI6" s="211">
        <f>+'Info recibida'!BJ12/550</f>
        <v>0</v>
      </c>
      <c r="BJ6" s="170">
        <f>+'Info recibida'!BK12/550</f>
        <v>0</v>
      </c>
      <c r="BK6" s="170">
        <f>+'Info recibida'!BL12/550</f>
        <v>0</v>
      </c>
      <c r="BL6" s="170">
        <f>+'Info recibida'!BM12/550</f>
        <v>0</v>
      </c>
      <c r="BM6" s="170">
        <f>+'Info recibida'!BN12/550</f>
        <v>0</v>
      </c>
      <c r="BN6" s="170">
        <f>+'Info recibida'!BO12/550</f>
        <v>0</v>
      </c>
      <c r="BO6" s="170">
        <f>+'Info recibida'!BP12/550</f>
        <v>0</v>
      </c>
      <c r="BP6" s="170">
        <f>+'Info recibida'!BQ12/550</f>
        <v>0</v>
      </c>
      <c r="BQ6" s="170">
        <f>+'Info recibida'!BR12/550</f>
        <v>0</v>
      </c>
      <c r="BR6" s="170">
        <f>+'Info recibida'!BS12/550</f>
        <v>0</v>
      </c>
      <c r="BS6" s="170">
        <f>+'Info recibida'!BT12/550</f>
        <v>0</v>
      </c>
      <c r="BT6" s="48"/>
      <c r="BU6" s="48"/>
      <c r="BV6" s="48"/>
      <c r="BW6" s="243"/>
      <c r="BX6" s="212">
        <f>+'Info recibida'!BY12/550</f>
        <v>60000</v>
      </c>
      <c r="BY6" s="170">
        <f>+'Info recibida'!BZ12/550</f>
        <v>60000</v>
      </c>
      <c r="BZ6" s="170">
        <f>+'Info recibida'!CA12/550</f>
        <v>0</v>
      </c>
      <c r="CA6" s="170">
        <f>+'Info recibida'!CB12/550</f>
        <v>0</v>
      </c>
      <c r="CB6" s="170">
        <f>+'Info recibida'!CC12/550</f>
        <v>0</v>
      </c>
      <c r="CC6" s="170">
        <f>+'Info recibida'!CD12/550</f>
        <v>0</v>
      </c>
      <c r="CD6" s="170">
        <f>+'Info recibida'!CE12/550</f>
        <v>0</v>
      </c>
      <c r="CE6" s="170">
        <f>+'Info recibida'!CF12/550</f>
        <v>0</v>
      </c>
      <c r="CF6" s="218">
        <f>+'Info recibida'!CG12/550</f>
        <v>0</v>
      </c>
      <c r="CG6" s="213">
        <v>0</v>
      </c>
      <c r="CH6" s="217">
        <f>+'Info recibida'!CH12/550</f>
        <v>60000</v>
      </c>
      <c r="CI6" s="170">
        <f>+'Info recibida'!CI12/550</f>
        <v>60000</v>
      </c>
      <c r="CJ6" s="170">
        <f>+'Info recibida'!CJ12/550</f>
        <v>0</v>
      </c>
      <c r="CK6" s="170">
        <f>+'Info recibida'!CK12/550</f>
        <v>0</v>
      </c>
      <c r="CL6" s="170">
        <f>+'Info recibida'!CL12/550</f>
        <v>0</v>
      </c>
      <c r="CM6" s="170">
        <f>+'Info recibida'!CM12/550</f>
        <v>0</v>
      </c>
      <c r="CN6" s="170">
        <f>+'Info recibida'!CN12/550</f>
        <v>0</v>
      </c>
      <c r="CO6" s="170">
        <f>+'Info recibida'!CO12/550</f>
        <v>0</v>
      </c>
      <c r="CP6" s="170">
        <f>+'Info recibida'!CP12/550</f>
        <v>0</v>
      </c>
      <c r="CQ6" s="213">
        <f>+'Info recibida'!CQ12/550</f>
        <v>120000</v>
      </c>
      <c r="CR6" s="83"/>
      <c r="CS6" s="239">
        <v>198000</v>
      </c>
      <c r="CT6" s="76" t="s">
        <v>461</v>
      </c>
      <c r="CU6" s="210"/>
      <c r="CV6" s="210"/>
      <c r="CW6" s="210"/>
      <c r="CX6" s="210"/>
      <c r="CY6" s="240">
        <f>+'Info recibida'!CY12/550</f>
        <v>120000</v>
      </c>
      <c r="CZ6" s="222"/>
      <c r="DA6" s="512"/>
    </row>
    <row r="7" spans="2:105" s="103" customFormat="1" ht="26.1" customHeight="1" x14ac:dyDescent="0.25">
      <c r="B7" s="224" t="s">
        <v>37</v>
      </c>
      <c r="C7" s="225" t="s">
        <v>355</v>
      </c>
      <c r="D7" s="74" t="s">
        <v>3</v>
      </c>
      <c r="E7" s="75" t="s">
        <v>412</v>
      </c>
      <c r="F7" s="75" t="s">
        <v>396</v>
      </c>
      <c r="G7" s="75" t="s">
        <v>111</v>
      </c>
      <c r="H7" s="79" t="s">
        <v>245</v>
      </c>
      <c r="I7" s="79" t="s">
        <v>233</v>
      </c>
      <c r="J7" s="165"/>
      <c r="K7" s="166"/>
      <c r="L7" s="167"/>
      <c r="M7" s="102"/>
      <c r="N7" s="224" t="s">
        <v>37</v>
      </c>
      <c r="O7" s="74" t="s">
        <v>3</v>
      </c>
      <c r="P7" s="75" t="s">
        <v>412</v>
      </c>
      <c r="Q7" s="75" t="s">
        <v>314</v>
      </c>
      <c r="R7" s="75" t="s">
        <v>314</v>
      </c>
      <c r="S7" s="75" t="s">
        <v>314</v>
      </c>
      <c r="T7" s="75" t="s">
        <v>307</v>
      </c>
      <c r="U7" s="75"/>
      <c r="V7" s="75"/>
      <c r="W7" s="75" t="s">
        <v>314</v>
      </c>
      <c r="X7" s="75"/>
      <c r="Y7" s="75"/>
      <c r="Z7" s="75"/>
      <c r="AA7" s="75"/>
      <c r="AB7" s="75"/>
      <c r="AC7" s="75"/>
      <c r="AD7" s="75"/>
      <c r="AE7" s="168"/>
      <c r="AF7" s="74" t="s">
        <v>315</v>
      </c>
      <c r="AG7" s="169" t="s">
        <v>319</v>
      </c>
      <c r="AH7" s="267" t="s">
        <v>336</v>
      </c>
      <c r="AI7" s="170"/>
      <c r="AJ7" s="170">
        <v>1000000000</v>
      </c>
      <c r="AK7" s="170">
        <v>1000000000</v>
      </c>
      <c r="AL7" s="170">
        <v>1758333333</v>
      </c>
      <c r="AM7" s="170">
        <v>2370833333</v>
      </c>
      <c r="AN7" s="170">
        <v>3041666667</v>
      </c>
      <c r="AO7" s="170">
        <v>3245833333</v>
      </c>
      <c r="AP7" s="170">
        <v>3333333333</v>
      </c>
      <c r="AQ7" s="170">
        <v>1816666667</v>
      </c>
      <c r="AR7" s="170">
        <v>1350000000</v>
      </c>
      <c r="AS7" s="170"/>
      <c r="AT7" s="170"/>
      <c r="AU7" s="170">
        <f>+AJ7</f>
        <v>1000000000</v>
      </c>
      <c r="AV7" s="170">
        <f>+AL7+1000000000</f>
        <v>2758333333</v>
      </c>
      <c r="AW7" s="170">
        <f>+AM7+1000000</f>
        <v>2371833333</v>
      </c>
      <c r="AX7" s="170">
        <f>+AM7+1000000</f>
        <v>2371833333</v>
      </c>
      <c r="AY7" s="170">
        <f>+AN7+1000000</f>
        <v>3042666667</v>
      </c>
      <c r="AZ7" s="170">
        <f>+AO7+1000000</f>
        <v>3246833333</v>
      </c>
      <c r="BA7" s="170">
        <f>+AP7+1000000</f>
        <v>3334333333</v>
      </c>
      <c r="BB7" s="170">
        <f>+AQ7</f>
        <v>1816666667</v>
      </c>
      <c r="BC7" s="170">
        <f>+AR7</f>
        <v>1350000000</v>
      </c>
      <c r="BD7" s="48"/>
      <c r="BE7" s="94"/>
      <c r="BF7" s="165" t="s">
        <v>334</v>
      </c>
      <c r="BG7" s="171" t="s">
        <v>312</v>
      </c>
      <c r="BH7" s="75" t="s">
        <v>323</v>
      </c>
      <c r="BI7" s="490">
        <f>+'Info recibida'!BJ9/550</f>
        <v>488757.58545454545</v>
      </c>
      <c r="BJ7" s="505">
        <f>+'Info recibida'!BK9/550</f>
        <v>711617.47636363632</v>
      </c>
      <c r="BK7" s="174">
        <f>+'Info recibida'!BL9/550</f>
        <v>732966.0006545455</v>
      </c>
      <c r="BL7" s="174">
        <f>+'Info recibida'!BM9/550</f>
        <v>754954.98067418183</v>
      </c>
      <c r="BM7" s="174">
        <f>+'Info recibida'!BN9/550</f>
        <v>777603.63009440736</v>
      </c>
      <c r="BN7" s="174">
        <f>+'Info recibida'!BO9/550</f>
        <v>800931.73899723962</v>
      </c>
      <c r="BO7" s="174">
        <f>+'Info recibida'!BP9/550</f>
        <v>824959.69116715679</v>
      </c>
      <c r="BP7" s="174">
        <f>+'Info recibida'!BQ9/550</f>
        <v>849708.48190217151</v>
      </c>
      <c r="BQ7" s="174">
        <f>+'Info recibida'!BR9/550</f>
        <v>875199.73635923665</v>
      </c>
      <c r="BR7" s="174">
        <f>+'Info recibida'!BS9/550</f>
        <v>901455.72845001379</v>
      </c>
      <c r="BS7" s="174">
        <f>+'Info recibida'!BT9/550</f>
        <v>7229397.4646625891</v>
      </c>
      <c r="BT7" s="177">
        <v>1</v>
      </c>
      <c r="BU7" s="75"/>
      <c r="BV7" s="228"/>
      <c r="BW7" s="178"/>
      <c r="BX7" s="229">
        <f>+'Info recibida'!BY9/550</f>
        <v>882617.47636363632</v>
      </c>
      <c r="BY7" s="230">
        <f>+'Info recibida'!BZ9/550</f>
        <v>1080096.0006545454</v>
      </c>
      <c r="BZ7" s="230">
        <f>+'Info recibida'!CA9/550</f>
        <v>1112498.8806741817</v>
      </c>
      <c r="CA7" s="230">
        <f>+'Info recibida'!CB9/550</f>
        <v>1145873.8470944073</v>
      </c>
      <c r="CB7" s="230">
        <f>+'Info recibida'!CC9/550</f>
        <v>1180250.0625072394</v>
      </c>
      <c r="CC7" s="230">
        <f>+'Info recibida'!CD9/550</f>
        <v>1215657.5643824567</v>
      </c>
      <c r="CD7" s="230">
        <f>+'Info recibida'!CE9/550</f>
        <v>1252127.2913139304</v>
      </c>
      <c r="CE7" s="230">
        <f>+'Info recibida'!CF9/550</f>
        <v>1289691.1100533484</v>
      </c>
      <c r="CF7" s="500">
        <f>+'Info recibida'!CG9/550</f>
        <v>1328381.8433549488</v>
      </c>
      <c r="CG7" s="175">
        <f>SUM(BX7:CF7)</f>
        <v>10487194.076398693</v>
      </c>
      <c r="CH7" s="173">
        <f>+'Info recibida'!CH9/550</f>
        <v>171000</v>
      </c>
      <c r="CI7" s="174">
        <f>+'Info recibida'!CI9/550</f>
        <v>347130</v>
      </c>
      <c r="CJ7" s="174">
        <f>+'Info recibida'!CJ9/550</f>
        <v>357543.9</v>
      </c>
      <c r="CK7" s="174">
        <f>+'Info recibida'!CK9/550</f>
        <v>368270.21699999995</v>
      </c>
      <c r="CL7" s="174">
        <f>+'Info recibida'!CL9/550</f>
        <v>379318.32350999984</v>
      </c>
      <c r="CM7" s="174">
        <f>+'Info recibida'!CM9/550</f>
        <v>390697.87321529986</v>
      </c>
      <c r="CN7" s="174">
        <f>+'Info recibida'!CN9/550</f>
        <v>402418.80941175896</v>
      </c>
      <c r="CO7" s="174">
        <f>+'Info recibida'!CO9/550</f>
        <v>414491.37369411165</v>
      </c>
      <c r="CP7" s="174">
        <f>+'Info recibida'!CP9/550</f>
        <v>426926.11490493501</v>
      </c>
      <c r="CQ7" s="175">
        <f>+'Info recibida'!CQ9/550</f>
        <v>3257796.6117361053</v>
      </c>
      <c r="CR7" s="84"/>
      <c r="CS7" s="180">
        <v>342000</v>
      </c>
      <c r="CT7" s="85" t="s">
        <v>337</v>
      </c>
      <c r="CU7" s="169"/>
      <c r="CV7" s="169"/>
      <c r="CW7" s="169"/>
      <c r="CX7" s="169"/>
      <c r="CY7" s="181">
        <f>+'Info recibida'!CY9/550</f>
        <v>2915796.6117361053</v>
      </c>
      <c r="CZ7" s="182"/>
      <c r="DA7" s="512"/>
    </row>
    <row r="8" spans="2:105" s="103" customFormat="1" ht="26.1" customHeight="1" x14ac:dyDescent="0.25">
      <c r="B8" s="233"/>
      <c r="C8" s="234"/>
      <c r="D8" s="74" t="s">
        <v>3</v>
      </c>
      <c r="E8" s="75" t="s">
        <v>412</v>
      </c>
      <c r="F8" s="75" t="s">
        <v>396</v>
      </c>
      <c r="G8" s="75" t="s">
        <v>111</v>
      </c>
      <c r="H8" s="82"/>
      <c r="I8" s="82"/>
      <c r="J8" s="186"/>
      <c r="K8" s="187"/>
      <c r="L8" s="188"/>
      <c r="M8" s="102"/>
      <c r="N8" s="233"/>
      <c r="O8" s="80"/>
      <c r="P8" s="81"/>
      <c r="Q8" s="81"/>
      <c r="R8" s="81"/>
      <c r="S8" s="81"/>
      <c r="T8" s="81"/>
      <c r="U8" s="81"/>
      <c r="V8" s="81"/>
      <c r="W8" s="81"/>
      <c r="X8" s="81"/>
      <c r="Y8" s="81"/>
      <c r="Z8" s="81"/>
      <c r="AA8" s="81"/>
      <c r="AB8" s="81"/>
      <c r="AC8" s="81"/>
      <c r="AD8" s="81"/>
      <c r="AE8" s="189"/>
      <c r="AF8" s="80"/>
      <c r="AG8" s="190"/>
      <c r="AH8" s="267" t="s">
        <v>338</v>
      </c>
      <c r="AI8" s="170"/>
      <c r="AJ8" s="170">
        <v>0</v>
      </c>
      <c r="AK8" s="170">
        <v>1</v>
      </c>
      <c r="AL8" s="170">
        <v>1</v>
      </c>
      <c r="AM8" s="170">
        <v>0</v>
      </c>
      <c r="AN8" s="170">
        <v>0</v>
      </c>
      <c r="AO8" s="170">
        <v>0</v>
      </c>
      <c r="AP8" s="170">
        <v>0</v>
      </c>
      <c r="AQ8" s="170">
        <v>0</v>
      </c>
      <c r="AR8" s="170">
        <v>0</v>
      </c>
      <c r="AS8" s="170"/>
      <c r="AT8" s="170"/>
      <c r="AU8" s="170">
        <v>0</v>
      </c>
      <c r="AV8" s="170">
        <v>1</v>
      </c>
      <c r="AW8" s="170">
        <v>1</v>
      </c>
      <c r="AX8" s="170">
        <v>1</v>
      </c>
      <c r="AY8" s="170">
        <v>1</v>
      </c>
      <c r="AZ8" s="170">
        <v>0</v>
      </c>
      <c r="BA8" s="170">
        <v>0</v>
      </c>
      <c r="BB8" s="170">
        <v>0</v>
      </c>
      <c r="BC8" s="170">
        <v>0</v>
      </c>
      <c r="BD8" s="48"/>
      <c r="BE8" s="94"/>
      <c r="BF8" s="186"/>
      <c r="BG8" s="235"/>
      <c r="BH8" s="81"/>
      <c r="BI8" s="489">
        <f>+'Info recibida'!BJ10/550</f>
        <v>0</v>
      </c>
      <c r="BJ8" s="194">
        <f>+'Info recibida'!BK10/550</f>
        <v>0</v>
      </c>
      <c r="BK8" s="194">
        <f>+'Info recibida'!BL10/550</f>
        <v>0</v>
      </c>
      <c r="BL8" s="194">
        <f>+'Info recibida'!BM10/550</f>
        <v>0</v>
      </c>
      <c r="BM8" s="194">
        <f>+'Info recibida'!BN10/550</f>
        <v>0</v>
      </c>
      <c r="BN8" s="194">
        <f>+'Info recibida'!BO10/550</f>
        <v>0</v>
      </c>
      <c r="BO8" s="194">
        <f>+'Info recibida'!BP10/550</f>
        <v>0</v>
      </c>
      <c r="BP8" s="194">
        <f>+'Info recibida'!BQ10/550</f>
        <v>0</v>
      </c>
      <c r="BQ8" s="194">
        <f>+'Info recibida'!BR10/550</f>
        <v>0</v>
      </c>
      <c r="BR8" s="194">
        <f>+'Info recibida'!BS10/550</f>
        <v>0</v>
      </c>
      <c r="BS8" s="194">
        <f>+'Info recibida'!BT10/550</f>
        <v>0</v>
      </c>
      <c r="BT8" s="81"/>
      <c r="BU8" s="81"/>
      <c r="BV8" s="81"/>
      <c r="BW8" s="198"/>
      <c r="BX8" s="193">
        <f>+'Info recibida'!BY10/550</f>
        <v>0</v>
      </c>
      <c r="BY8" s="194">
        <f>+'Info recibida'!BZ10/550</f>
        <v>0</v>
      </c>
      <c r="BZ8" s="194">
        <f>+'Info recibida'!CA10/550</f>
        <v>0</v>
      </c>
      <c r="CA8" s="194">
        <f>+'Info recibida'!CB10/550</f>
        <v>0</v>
      </c>
      <c r="CB8" s="194">
        <f>+'Info recibida'!CC10/550</f>
        <v>0</v>
      </c>
      <c r="CC8" s="194">
        <f>+'Info recibida'!CD10/550</f>
        <v>0</v>
      </c>
      <c r="CD8" s="194">
        <f>+'Info recibida'!CE10/550</f>
        <v>0</v>
      </c>
      <c r="CE8" s="194">
        <f>+'Info recibida'!CF10/550</f>
        <v>0</v>
      </c>
      <c r="CF8" s="499">
        <f>+'Info recibida'!CG10/550</f>
        <v>0</v>
      </c>
      <c r="CG8" s="195"/>
      <c r="CH8" s="193">
        <f>+'Info recibida'!CH10/550</f>
        <v>0</v>
      </c>
      <c r="CI8" s="194">
        <f>+'Info recibida'!CI10/550</f>
        <v>0</v>
      </c>
      <c r="CJ8" s="194">
        <f>+'Info recibida'!CJ10/550</f>
        <v>0</v>
      </c>
      <c r="CK8" s="194">
        <f>+'Info recibida'!CK10/550</f>
        <v>0</v>
      </c>
      <c r="CL8" s="194">
        <f>+'Info recibida'!CL10/550</f>
        <v>0</v>
      </c>
      <c r="CM8" s="194">
        <f>+'Info recibida'!CM10/550</f>
        <v>0</v>
      </c>
      <c r="CN8" s="194">
        <f>+'Info recibida'!CN10/550</f>
        <v>0</v>
      </c>
      <c r="CO8" s="194">
        <f>+'Info recibida'!CO10/550</f>
        <v>0</v>
      </c>
      <c r="CP8" s="194">
        <f>+'Info recibida'!CP10/550</f>
        <v>0</v>
      </c>
      <c r="CQ8" s="195">
        <f>+'Info recibida'!CQ10/550</f>
        <v>0</v>
      </c>
      <c r="CR8" s="86"/>
      <c r="CS8" s="87"/>
      <c r="CT8" s="87"/>
      <c r="CU8" s="190"/>
      <c r="CV8" s="190"/>
      <c r="CW8" s="190"/>
      <c r="CX8" s="190"/>
      <c r="CY8" s="201">
        <f>+'Info recibida'!CY10/550</f>
        <v>0</v>
      </c>
      <c r="CZ8" s="202"/>
      <c r="DA8" s="512"/>
    </row>
    <row r="9" spans="2:105" ht="26.1" customHeight="1" x14ac:dyDescent="0.25">
      <c r="B9" s="204" t="s">
        <v>35</v>
      </c>
      <c r="C9" s="205" t="s">
        <v>355</v>
      </c>
      <c r="D9" s="47" t="s">
        <v>3</v>
      </c>
      <c r="E9" s="48" t="s">
        <v>410</v>
      </c>
      <c r="F9" s="48" t="s">
        <v>414</v>
      </c>
      <c r="G9" s="48" t="s">
        <v>110</v>
      </c>
      <c r="H9" s="49" t="s">
        <v>245</v>
      </c>
      <c r="I9" s="49" t="s">
        <v>233</v>
      </c>
      <c r="J9" s="206"/>
      <c r="K9" s="207"/>
      <c r="L9" s="208"/>
      <c r="N9" s="204" t="s">
        <v>35</v>
      </c>
      <c r="O9" s="47" t="s">
        <v>3</v>
      </c>
      <c r="P9" s="48" t="s">
        <v>410</v>
      </c>
      <c r="Q9" s="48" t="s">
        <v>314</v>
      </c>
      <c r="R9" s="48" t="s">
        <v>314</v>
      </c>
      <c r="S9" s="48" t="s">
        <v>314</v>
      </c>
      <c r="T9" s="48" t="s">
        <v>307</v>
      </c>
      <c r="U9" s="48"/>
      <c r="V9" s="48"/>
      <c r="W9" s="48" t="s">
        <v>314</v>
      </c>
      <c r="X9" s="48"/>
      <c r="Y9" s="48"/>
      <c r="Z9" s="48" t="s">
        <v>314</v>
      </c>
      <c r="AA9" s="48"/>
      <c r="AB9" s="48" t="s">
        <v>314</v>
      </c>
      <c r="AC9" s="48"/>
      <c r="AD9" s="48"/>
      <c r="AE9" s="209"/>
      <c r="AF9" s="47" t="s">
        <v>308</v>
      </c>
      <c r="AG9" s="210" t="s">
        <v>319</v>
      </c>
      <c r="AH9" s="101" t="s">
        <v>411</v>
      </c>
      <c r="AI9" s="170">
        <v>310357.20000000007</v>
      </c>
      <c r="AJ9" s="170">
        <v>352008.94249999989</v>
      </c>
      <c r="AK9" s="170">
        <v>353431.50999999989</v>
      </c>
      <c r="AL9" s="170">
        <v>357933.41</v>
      </c>
      <c r="AM9" s="170">
        <v>341370.5</v>
      </c>
      <c r="AN9" s="170">
        <v>318870.5</v>
      </c>
      <c r="AO9" s="170">
        <v>261905.99999999997</v>
      </c>
      <c r="AP9" s="170">
        <v>300000</v>
      </c>
      <c r="AQ9" s="170">
        <v>300000</v>
      </c>
      <c r="AR9" s="170">
        <v>300000</v>
      </c>
      <c r="AS9" s="170"/>
      <c r="AT9" s="170"/>
      <c r="AU9" s="170">
        <f t="shared" ref="AU9:BC9" si="0">+AJ9+233000</f>
        <v>585008.94249999989</v>
      </c>
      <c r="AV9" s="170">
        <f t="shared" si="0"/>
        <v>586431.50999999989</v>
      </c>
      <c r="AW9" s="170">
        <f t="shared" si="0"/>
        <v>590933.40999999992</v>
      </c>
      <c r="AX9" s="170">
        <f t="shared" si="0"/>
        <v>574370.5</v>
      </c>
      <c r="AY9" s="170">
        <f t="shared" si="0"/>
        <v>551870.5</v>
      </c>
      <c r="AZ9" s="170">
        <f t="shared" si="0"/>
        <v>494906</v>
      </c>
      <c r="BA9" s="170">
        <f t="shared" si="0"/>
        <v>533000</v>
      </c>
      <c r="BB9" s="170">
        <f t="shared" si="0"/>
        <v>533000</v>
      </c>
      <c r="BC9" s="170">
        <f t="shared" si="0"/>
        <v>533000</v>
      </c>
      <c r="BD9" s="170"/>
      <c r="BE9" s="170"/>
      <c r="BF9" s="206" t="s">
        <v>334</v>
      </c>
      <c r="BG9" s="68" t="s">
        <v>312</v>
      </c>
      <c r="BH9" s="48" t="s">
        <v>323</v>
      </c>
      <c r="BI9" s="492">
        <f>+'Info recibida'!BJ40/550</f>
        <v>31969367.348881822</v>
      </c>
      <c r="BJ9" s="170">
        <f>+'Info recibida'!BK40/550</f>
        <v>33451475.086455002</v>
      </c>
      <c r="BK9" s="170">
        <f>+'Info recibida'!BL40/550</f>
        <v>44813721.942598611</v>
      </c>
      <c r="BL9" s="170">
        <f>+'Info recibida'!BM40/550</f>
        <v>36432793.038685389</v>
      </c>
      <c r="BM9" s="170">
        <f>+'Info recibida'!BN40/550</f>
        <v>38906536.222340643</v>
      </c>
      <c r="BN9" s="170">
        <f>+'Info recibida'!BO40/550</f>
        <v>38819150.809618488</v>
      </c>
      <c r="BO9" s="170">
        <f>+'Info recibida'!BP40/550</f>
        <v>39121608.560206912</v>
      </c>
      <c r="BP9" s="170">
        <f>+'Info recibida'!BQ40/550</f>
        <v>41144548.880147494</v>
      </c>
      <c r="BQ9" s="170">
        <f>+'Info recibida'!BR40/550</f>
        <v>43201776.324154869</v>
      </c>
      <c r="BR9" s="170">
        <f>+'Info recibida'!BS40/550</f>
        <v>45361865.14036262</v>
      </c>
      <c r="BS9" s="170">
        <f>+'Info recibida'!BT40/550</f>
        <v>361253476.00457001</v>
      </c>
      <c r="BT9" s="215">
        <v>0.94</v>
      </c>
      <c r="BU9" s="215"/>
      <c r="BV9" s="215">
        <v>0.06</v>
      </c>
      <c r="BW9" s="243" t="s">
        <v>495</v>
      </c>
      <c r="BX9" s="212">
        <f>+'Info recibida'!BY40/550</f>
        <v>49931698.026962988</v>
      </c>
      <c r="BY9" s="217">
        <f>+'Info recibida'!BZ40/550</f>
        <v>63502468.365141161</v>
      </c>
      <c r="BZ9" s="170">
        <f>+'Info recibida'!CA40/550</f>
        <v>58450147.608166836</v>
      </c>
      <c r="CA9" s="170">
        <f>+'Info recibida'!CB40/550</f>
        <v>62529049.497756101</v>
      </c>
      <c r="CB9" s="170">
        <f>+'Info recibida'!CC40/550</f>
        <v>64046822.79096777</v>
      </c>
      <c r="CC9" s="170">
        <f>+'Info recibida'!CD40/550</f>
        <v>66954802.883853815</v>
      </c>
      <c r="CD9" s="170">
        <f>+'Info recibida'!CE40/550</f>
        <v>69582538.273364767</v>
      </c>
      <c r="CE9" s="170">
        <f>+'Info recibida'!CF40/550</f>
        <v>72244560.786942497</v>
      </c>
      <c r="CF9" s="218">
        <f>+'Info recibida'!CG40/550</f>
        <v>77010171.945447892</v>
      </c>
      <c r="CG9" s="213">
        <f>SUM(BX9:CF9)</f>
        <v>584252260.17860377</v>
      </c>
      <c r="CH9" s="217">
        <f>+'Info recibida'!CH40/550</f>
        <v>16480222.940507986</v>
      </c>
      <c r="CI9" s="170">
        <f>+'Info recibida'!CI40/550</f>
        <v>18688746.422542546</v>
      </c>
      <c r="CJ9" s="170">
        <f>+'Info recibida'!CJ40/550</f>
        <v>22017354.569481451</v>
      </c>
      <c r="CK9" s="170">
        <f>+'Info recibida'!CK40/550</f>
        <v>23622513.275415454</v>
      </c>
      <c r="CL9" s="170">
        <f>+'Info recibida'!CL40/550</f>
        <v>25227671.981349278</v>
      </c>
      <c r="CM9" s="170">
        <f>+'Info recibida'!CM40/550</f>
        <v>27833194.323646907</v>
      </c>
      <c r="CN9" s="170">
        <f>+'Info recibida'!CN40/550</f>
        <v>28437989.393217273</v>
      </c>
      <c r="CO9" s="170">
        <f>+'Info recibida'!CO40/550</f>
        <v>29042784.462787628</v>
      </c>
      <c r="CP9" s="170">
        <f>+'Info recibida'!CP40/550</f>
        <v>31648306.805085268</v>
      </c>
      <c r="CQ9" s="213">
        <f>+'Info recibida'!CQ40/550</f>
        <v>222998784.17403382</v>
      </c>
      <c r="CR9" s="70"/>
      <c r="CS9" s="220">
        <f>190000+264300</f>
        <v>454300</v>
      </c>
      <c r="CT9" s="71" t="s">
        <v>335</v>
      </c>
      <c r="CU9" s="210"/>
      <c r="CV9" s="210"/>
      <c r="CW9" s="210"/>
      <c r="CX9" s="210"/>
      <c r="CY9" s="221">
        <f>+'Info recibida'!CY40/550</f>
        <v>222544484.17403382</v>
      </c>
      <c r="CZ9" s="222"/>
      <c r="DA9" s="512"/>
    </row>
    <row r="10" spans="2:105" ht="26.1" customHeight="1" x14ac:dyDescent="0.25">
      <c r="B10" s="204"/>
      <c r="C10" s="205"/>
      <c r="D10" s="47" t="s">
        <v>289</v>
      </c>
      <c r="E10" s="335" t="s">
        <v>432</v>
      </c>
      <c r="F10" s="48" t="s">
        <v>427</v>
      </c>
      <c r="G10" s="50"/>
      <c r="H10" s="49"/>
      <c r="I10" s="49"/>
      <c r="J10" s="206"/>
      <c r="K10" s="207"/>
      <c r="L10" s="208"/>
      <c r="N10" s="204" t="s">
        <v>433</v>
      </c>
      <c r="O10" s="47" t="s">
        <v>289</v>
      </c>
      <c r="P10" s="48" t="s">
        <v>427</v>
      </c>
      <c r="Q10" s="50"/>
      <c r="R10" s="50" t="s">
        <v>314</v>
      </c>
      <c r="S10" s="50"/>
      <c r="T10" s="50" t="s">
        <v>314</v>
      </c>
      <c r="U10" s="50"/>
      <c r="V10" s="50"/>
      <c r="W10" s="50" t="s">
        <v>314</v>
      </c>
      <c r="X10" s="50"/>
      <c r="Y10" s="50"/>
      <c r="Z10" s="50"/>
      <c r="AA10" s="50"/>
      <c r="AB10" s="50"/>
      <c r="AC10" s="50"/>
      <c r="AD10" s="50" t="s">
        <v>307</v>
      </c>
      <c r="AE10" s="259" t="s">
        <v>314</v>
      </c>
      <c r="AF10" s="47" t="s">
        <v>315</v>
      </c>
      <c r="AG10" s="210" t="s">
        <v>319</v>
      </c>
      <c r="AH10" s="97" t="s">
        <v>428</v>
      </c>
      <c r="AI10" s="170"/>
      <c r="AJ10" s="170">
        <v>0</v>
      </c>
      <c r="AK10" s="170">
        <v>0</v>
      </c>
      <c r="AL10" s="170">
        <v>0</v>
      </c>
      <c r="AM10" s="170">
        <v>0</v>
      </c>
      <c r="AN10" s="170">
        <v>0</v>
      </c>
      <c r="AO10" s="170">
        <v>0</v>
      </c>
      <c r="AP10" s="170">
        <v>0</v>
      </c>
      <c r="AQ10" s="170">
        <v>0</v>
      </c>
      <c r="AR10" s="170">
        <v>0</v>
      </c>
      <c r="AS10" s="170"/>
      <c r="AT10" s="170"/>
      <c r="AU10" s="170">
        <v>0</v>
      </c>
      <c r="AV10" s="170">
        <v>1</v>
      </c>
      <c r="AW10" s="170">
        <v>0</v>
      </c>
      <c r="AX10" s="170">
        <v>0</v>
      </c>
      <c r="AY10" s="170">
        <v>0</v>
      </c>
      <c r="AZ10" s="170">
        <v>0</v>
      </c>
      <c r="BA10" s="170">
        <v>0</v>
      </c>
      <c r="BB10" s="170">
        <v>0</v>
      </c>
      <c r="BC10" s="170">
        <v>0</v>
      </c>
      <c r="BD10" s="170"/>
      <c r="BE10" s="260"/>
      <c r="BF10" s="206" t="s">
        <v>330</v>
      </c>
      <c r="BG10" s="257" t="s">
        <v>423</v>
      </c>
      <c r="BH10" s="48" t="s">
        <v>323</v>
      </c>
      <c r="BI10" s="211">
        <f>+'Info recibida'!BJ80/550</f>
        <v>0</v>
      </c>
      <c r="BJ10" s="170">
        <f>+'Info recibida'!BK80/550</f>
        <v>0</v>
      </c>
      <c r="BK10" s="170">
        <f>+'Info recibida'!BL80/550</f>
        <v>0</v>
      </c>
      <c r="BL10" s="170">
        <f>+'Info recibida'!BM80/550</f>
        <v>0</v>
      </c>
      <c r="BM10" s="170">
        <f>+'Info recibida'!BN80/550</f>
        <v>0</v>
      </c>
      <c r="BN10" s="170">
        <f>+'Info recibida'!BO80/550</f>
        <v>0</v>
      </c>
      <c r="BO10" s="170">
        <f>+'Info recibida'!BP80/550</f>
        <v>0</v>
      </c>
      <c r="BP10" s="170">
        <f>+'Info recibida'!BQ80/550</f>
        <v>0</v>
      </c>
      <c r="BQ10" s="170">
        <f>+'Info recibida'!BR80/550</f>
        <v>0</v>
      </c>
      <c r="BR10" s="170">
        <f>+'Info recibida'!BS80/550</f>
        <v>0</v>
      </c>
      <c r="BS10" s="170">
        <f>+'Info recibida'!BT80/550</f>
        <v>0</v>
      </c>
      <c r="BT10" s="341">
        <f>75000/555000</f>
        <v>0.13513513513513514</v>
      </c>
      <c r="BU10" s="48" t="s">
        <v>424</v>
      </c>
      <c r="BV10" s="341">
        <f>480000/555000</f>
        <v>0.86486486486486491</v>
      </c>
      <c r="BW10" s="243" t="s">
        <v>425</v>
      </c>
      <c r="BX10" s="212">
        <f>+'Info recibida'!BY80/550</f>
        <v>119000</v>
      </c>
      <c r="BY10" s="170">
        <f>+'Info recibida'!BZ80/550</f>
        <v>119000</v>
      </c>
      <c r="BZ10" s="170">
        <f>+'Info recibida'!CA80/550</f>
        <v>0</v>
      </c>
      <c r="CA10" s="170">
        <f>+'Info recibida'!CB80/550</f>
        <v>0</v>
      </c>
      <c r="CB10" s="170">
        <f>+'Info recibida'!CC80/550</f>
        <v>0</v>
      </c>
      <c r="CC10" s="170">
        <f>+'Info recibida'!CD80/550</f>
        <v>0</v>
      </c>
      <c r="CD10" s="170">
        <f>+'Info recibida'!CE80/550</f>
        <v>0</v>
      </c>
      <c r="CE10" s="170">
        <f>+'Info recibida'!CF80/550</f>
        <v>0</v>
      </c>
      <c r="CF10" s="218">
        <f>+'Info recibida'!CG80/550</f>
        <v>0</v>
      </c>
      <c r="CG10" s="213">
        <f>SUM(BX10:CF10)</f>
        <v>238000</v>
      </c>
      <c r="CH10" s="212">
        <f>+'Info recibida'!CH80/550</f>
        <v>119000</v>
      </c>
      <c r="CI10" s="170">
        <f>+'Info recibida'!CI80/550</f>
        <v>119000</v>
      </c>
      <c r="CJ10" s="170">
        <f>+'Info recibida'!CJ80/550</f>
        <v>0</v>
      </c>
      <c r="CK10" s="170">
        <f>+'Info recibida'!CK80/550</f>
        <v>0</v>
      </c>
      <c r="CL10" s="170">
        <f>+'Info recibida'!CL80/550</f>
        <v>0</v>
      </c>
      <c r="CM10" s="170">
        <f>+'Info recibida'!CM80/550</f>
        <v>0</v>
      </c>
      <c r="CN10" s="170">
        <f>+'Info recibida'!CN80/550</f>
        <v>0</v>
      </c>
      <c r="CO10" s="170">
        <f>+'Info recibida'!CO80/550</f>
        <v>0</v>
      </c>
      <c r="CP10" s="170">
        <f>+'Info recibida'!CP80/550</f>
        <v>0</v>
      </c>
      <c r="CQ10" s="213">
        <f>+'Info recibida'!CQ80/550</f>
        <v>238000</v>
      </c>
      <c r="CR10" s="70"/>
      <c r="CS10" s="220">
        <f>48000+190000</f>
        <v>238000</v>
      </c>
      <c r="CT10" s="220" t="s">
        <v>430</v>
      </c>
      <c r="CU10" s="210"/>
      <c r="CV10" s="210"/>
      <c r="CW10" s="210"/>
      <c r="CX10" s="210"/>
      <c r="CY10" s="221">
        <f>+'Info recibida'!CY80/550</f>
        <v>0</v>
      </c>
      <c r="CZ10" s="222"/>
      <c r="DA10" s="512"/>
    </row>
    <row r="11" spans="2:105" ht="26.1" customHeight="1" x14ac:dyDescent="0.25">
      <c r="B11" s="204" t="s">
        <v>21</v>
      </c>
      <c r="C11" s="205" t="s">
        <v>355</v>
      </c>
      <c r="D11" s="47" t="s">
        <v>5</v>
      </c>
      <c r="E11" s="48" t="s">
        <v>402</v>
      </c>
      <c r="F11" s="48" t="s">
        <v>373</v>
      </c>
      <c r="G11" s="48" t="s">
        <v>106</v>
      </c>
      <c r="H11" s="49" t="s">
        <v>217</v>
      </c>
      <c r="I11" s="49" t="s">
        <v>242</v>
      </c>
      <c r="J11" s="206"/>
      <c r="K11" s="207"/>
      <c r="L11" s="208"/>
      <c r="N11" s="261" t="s">
        <v>380</v>
      </c>
      <c r="O11" s="47" t="s">
        <v>5</v>
      </c>
      <c r="P11" s="48" t="s">
        <v>402</v>
      </c>
      <c r="Q11" s="48" t="s">
        <v>314</v>
      </c>
      <c r="R11" s="48" t="s">
        <v>314</v>
      </c>
      <c r="S11" s="48" t="s">
        <v>314</v>
      </c>
      <c r="T11" s="48"/>
      <c r="U11" s="48" t="s">
        <v>314</v>
      </c>
      <c r="V11" s="48"/>
      <c r="W11" s="48" t="s">
        <v>314</v>
      </c>
      <c r="X11" s="48"/>
      <c r="Y11" s="48"/>
      <c r="Z11" s="48"/>
      <c r="AA11" s="48"/>
      <c r="AB11" s="48" t="s">
        <v>307</v>
      </c>
      <c r="AC11" s="48"/>
      <c r="AD11" s="48"/>
      <c r="AE11" s="209"/>
      <c r="AF11" s="47" t="s">
        <v>315</v>
      </c>
      <c r="AG11" s="210" t="s">
        <v>319</v>
      </c>
      <c r="AH11" s="97" t="s">
        <v>381</v>
      </c>
      <c r="AI11" s="170">
        <v>98</v>
      </c>
      <c r="AJ11" s="170">
        <v>100</v>
      </c>
      <c r="AK11" s="170">
        <f t="shared" ref="AK11:AR11" si="1">+AJ11+10</f>
        <v>110</v>
      </c>
      <c r="AL11" s="170">
        <f t="shared" si="1"/>
        <v>120</v>
      </c>
      <c r="AM11" s="170">
        <f t="shared" si="1"/>
        <v>130</v>
      </c>
      <c r="AN11" s="170">
        <f t="shared" si="1"/>
        <v>140</v>
      </c>
      <c r="AO11" s="170">
        <f t="shared" si="1"/>
        <v>150</v>
      </c>
      <c r="AP11" s="170">
        <f t="shared" si="1"/>
        <v>160</v>
      </c>
      <c r="AQ11" s="170">
        <f t="shared" si="1"/>
        <v>170</v>
      </c>
      <c r="AR11" s="170">
        <f t="shared" si="1"/>
        <v>180</v>
      </c>
      <c r="AS11" s="170"/>
      <c r="AT11" s="170"/>
      <c r="AU11" s="170">
        <v>125</v>
      </c>
      <c r="AV11" s="170">
        <f t="shared" ref="AV11:BC11" si="2">+AU11+50</f>
        <v>175</v>
      </c>
      <c r="AW11" s="170">
        <f t="shared" si="2"/>
        <v>225</v>
      </c>
      <c r="AX11" s="170">
        <f t="shared" si="2"/>
        <v>275</v>
      </c>
      <c r="AY11" s="170">
        <f t="shared" si="2"/>
        <v>325</v>
      </c>
      <c r="AZ11" s="170">
        <f t="shared" si="2"/>
        <v>375</v>
      </c>
      <c r="BA11" s="170">
        <f t="shared" si="2"/>
        <v>425</v>
      </c>
      <c r="BB11" s="170">
        <f t="shared" si="2"/>
        <v>475</v>
      </c>
      <c r="BC11" s="170">
        <f t="shared" si="2"/>
        <v>525</v>
      </c>
      <c r="BD11" s="170"/>
      <c r="BE11" s="260"/>
      <c r="BF11" s="206" t="s">
        <v>5</v>
      </c>
      <c r="BG11" s="68" t="s">
        <v>312</v>
      </c>
      <c r="BH11" s="48" t="s">
        <v>313</v>
      </c>
      <c r="BI11" s="211">
        <f>+'Info recibida'!BJ24/550</f>
        <v>0</v>
      </c>
      <c r="BJ11" s="170">
        <f>+'Info recibida'!BK24/550</f>
        <v>458.18181818181819</v>
      </c>
      <c r="BK11" s="170">
        <f>+'Info recibida'!BL24/550</f>
        <v>2290.909090909091</v>
      </c>
      <c r="BL11" s="170">
        <f>+'Info recibida'!BM24/550</f>
        <v>2290.909090909091</v>
      </c>
      <c r="BM11" s="170">
        <f>+'Info recibida'!BN24/550</f>
        <v>2290.909090909091</v>
      </c>
      <c r="BN11" s="170">
        <f>+'Info recibida'!BO24/550</f>
        <v>2290.909090909091</v>
      </c>
      <c r="BO11" s="170">
        <f>+'Info recibida'!BP24/550</f>
        <v>2290.909090909091</v>
      </c>
      <c r="BP11" s="170">
        <f>+'Info recibida'!BQ24/550</f>
        <v>2290.909090909091</v>
      </c>
      <c r="BQ11" s="170">
        <f>+'Info recibida'!BR24/550</f>
        <v>2290.909090909091</v>
      </c>
      <c r="BR11" s="170">
        <f>+'Info recibida'!BS24/550</f>
        <v>2290.909090909091</v>
      </c>
      <c r="BS11" s="170">
        <f>+'Info recibida'!BT24/550</f>
        <v>18785.454545454544</v>
      </c>
      <c r="BT11" s="503">
        <v>1</v>
      </c>
      <c r="BU11" s="170"/>
      <c r="BV11" s="170"/>
      <c r="BW11" s="213"/>
      <c r="BX11" s="212">
        <f>+'Info recibida'!BY24/550</f>
        <v>6185.454545454545</v>
      </c>
      <c r="BY11" s="170">
        <f>+'Info recibida'!BZ24/550</f>
        <v>11454.545454545454</v>
      </c>
      <c r="BZ11" s="170">
        <f>+'Info recibida'!CA24/550</f>
        <v>11454.545454545454</v>
      </c>
      <c r="CA11" s="170">
        <f>+'Info recibida'!CB24/550</f>
        <v>11454.545454545454</v>
      </c>
      <c r="CB11" s="170">
        <f>+'Info recibida'!CC24/550</f>
        <v>11454.545454545454</v>
      </c>
      <c r="CC11" s="170">
        <f>+'Info recibida'!CD24/550</f>
        <v>11454.545454545454</v>
      </c>
      <c r="CD11" s="170">
        <f>+'Info recibida'!CE24/550</f>
        <v>11454.545454545454</v>
      </c>
      <c r="CE11" s="170">
        <f>+'Info recibida'!CF24/550</f>
        <v>11454.545454545454</v>
      </c>
      <c r="CF11" s="218">
        <f>+'Info recibida'!CG24/550</f>
        <v>11454.545454545454</v>
      </c>
      <c r="CG11" s="213">
        <f>SUM(BX11:CF11)</f>
        <v>97821.818181818191</v>
      </c>
      <c r="CH11" s="212">
        <f>+'Info recibida'!CH24/550</f>
        <v>5727.272727272727</v>
      </c>
      <c r="CI11" s="170">
        <f>+'Info recibida'!CI24/550</f>
        <v>9163.636363636364</v>
      </c>
      <c r="CJ11" s="170">
        <f>+'Info recibida'!CJ24/550</f>
        <v>9163.636363636364</v>
      </c>
      <c r="CK11" s="170">
        <f>+'Info recibida'!CK24/550</f>
        <v>9163.636363636364</v>
      </c>
      <c r="CL11" s="170">
        <f>+'Info recibida'!CL24/550</f>
        <v>9163.636363636364</v>
      </c>
      <c r="CM11" s="170">
        <f>+'Info recibida'!CM24/550</f>
        <v>9163.636363636364</v>
      </c>
      <c r="CN11" s="170">
        <f>+'Info recibida'!CN24/550</f>
        <v>9163.636363636364</v>
      </c>
      <c r="CO11" s="170">
        <f>+'Info recibida'!CO24/550</f>
        <v>9163.636363636364</v>
      </c>
      <c r="CP11" s="170">
        <f>+'Info recibida'!CP24/550</f>
        <v>9163.636363636364</v>
      </c>
      <c r="CQ11" s="213">
        <f>+'Info recibida'!CQ24/550</f>
        <v>79036.363636363632</v>
      </c>
      <c r="CR11" s="70"/>
      <c r="CS11" s="71"/>
      <c r="CT11" s="71"/>
      <c r="CU11" s="210"/>
      <c r="CV11" s="210"/>
      <c r="CW11" s="210"/>
      <c r="CX11" s="210"/>
      <c r="CY11" s="221">
        <f>+'Info recibida'!CY24/550</f>
        <v>79036.363636363632</v>
      </c>
      <c r="CZ11" s="222"/>
      <c r="DA11" s="512"/>
    </row>
    <row r="12" spans="2:105" ht="26.1" customHeight="1" x14ac:dyDescent="0.25">
      <c r="B12" s="163" t="s">
        <v>14</v>
      </c>
      <c r="C12" s="164" t="s">
        <v>357</v>
      </c>
      <c r="D12" s="74" t="s">
        <v>5</v>
      </c>
      <c r="E12" s="75" t="s">
        <v>402</v>
      </c>
      <c r="F12" s="75" t="s">
        <v>373</v>
      </c>
      <c r="G12" s="88" t="s">
        <v>479</v>
      </c>
      <c r="H12" s="49" t="s">
        <v>244</v>
      </c>
      <c r="I12" s="49" t="s">
        <v>237</v>
      </c>
      <c r="J12" s="206"/>
      <c r="K12" s="207"/>
      <c r="L12" s="208"/>
      <c r="N12" s="204" t="s">
        <v>14</v>
      </c>
      <c r="O12" s="47" t="s">
        <v>5</v>
      </c>
      <c r="P12" s="48" t="s">
        <v>402</v>
      </c>
      <c r="Q12" s="48" t="s">
        <v>314</v>
      </c>
      <c r="R12" s="48" t="s">
        <v>314</v>
      </c>
      <c r="S12" s="48" t="s">
        <v>314</v>
      </c>
      <c r="T12" s="48"/>
      <c r="U12" s="48" t="s">
        <v>314</v>
      </c>
      <c r="V12" s="48"/>
      <c r="W12" s="48" t="s">
        <v>314</v>
      </c>
      <c r="X12" s="48"/>
      <c r="Y12" s="48"/>
      <c r="Z12" s="48"/>
      <c r="AA12" s="48"/>
      <c r="AB12" s="48" t="s">
        <v>307</v>
      </c>
      <c r="AC12" s="207"/>
      <c r="AD12" s="207"/>
      <c r="AE12" s="208"/>
      <c r="AF12" s="47" t="s">
        <v>315</v>
      </c>
      <c r="AG12" s="210" t="s">
        <v>319</v>
      </c>
      <c r="AH12" s="97" t="s">
        <v>377</v>
      </c>
      <c r="AI12" s="170"/>
      <c r="AJ12" s="170">
        <v>9</v>
      </c>
      <c r="AK12" s="170">
        <v>9</v>
      </c>
      <c r="AL12" s="170">
        <v>9</v>
      </c>
      <c r="AM12" s="170">
        <v>9</v>
      </c>
      <c r="AN12" s="170">
        <v>9</v>
      </c>
      <c r="AO12" s="170">
        <v>9</v>
      </c>
      <c r="AP12" s="170">
        <v>9</v>
      </c>
      <c r="AQ12" s="170">
        <v>9</v>
      </c>
      <c r="AR12" s="170">
        <v>9</v>
      </c>
      <c r="AS12" s="170"/>
      <c r="AT12" s="170"/>
      <c r="AU12" s="170">
        <v>25</v>
      </c>
      <c r="AV12" s="170">
        <v>25</v>
      </c>
      <c r="AW12" s="170">
        <v>25</v>
      </c>
      <c r="AX12" s="170">
        <v>25</v>
      </c>
      <c r="AY12" s="170">
        <v>25</v>
      </c>
      <c r="AZ12" s="170">
        <v>25</v>
      </c>
      <c r="BA12" s="170">
        <v>25</v>
      </c>
      <c r="BB12" s="170">
        <v>25</v>
      </c>
      <c r="BC12" s="170">
        <v>25</v>
      </c>
      <c r="BD12" s="48"/>
      <c r="BE12" s="48"/>
      <c r="BF12" s="206"/>
      <c r="BG12" s="68" t="s">
        <v>349</v>
      </c>
      <c r="BH12" s="48" t="s">
        <v>313</v>
      </c>
      <c r="BI12" s="211">
        <f>+'Info recibida'!BJ14/550</f>
        <v>0</v>
      </c>
      <c r="BJ12" s="170">
        <f>+'Info recibida'!BK14/550</f>
        <v>5413.090909090909</v>
      </c>
      <c r="BK12" s="170">
        <f>+'Info recibida'!BL14/550</f>
        <v>5683.7454545454548</v>
      </c>
      <c r="BL12" s="170">
        <f>+'Info recibida'!BM14/550</f>
        <v>5967.9327272727269</v>
      </c>
      <c r="BM12" s="170">
        <f>+'Info recibida'!BN14/550</f>
        <v>6266.3293636363642</v>
      </c>
      <c r="BN12" s="170">
        <f>+'Info recibida'!BO14/550</f>
        <v>6579.6458318181831</v>
      </c>
      <c r="BO12" s="170">
        <f>+'Info recibida'!BP14/550</f>
        <v>6908.628123409092</v>
      </c>
      <c r="BP12" s="170">
        <f>+'Info recibida'!BQ14/550</f>
        <v>7254.0595295795465</v>
      </c>
      <c r="BQ12" s="170">
        <f>+'Info recibida'!BR14/550</f>
        <v>7616.7625060585242</v>
      </c>
      <c r="BR12" s="170">
        <f>+'Info recibida'!BS14/550</f>
        <v>7997.6006313614516</v>
      </c>
      <c r="BS12" s="170">
        <f>+'Info recibida'!BT14/550</f>
        <v>59687.795076772258</v>
      </c>
      <c r="BT12" s="308">
        <v>1</v>
      </c>
      <c r="BU12" s="48"/>
      <c r="BV12" s="48"/>
      <c r="BW12" s="243"/>
      <c r="BX12" s="212">
        <f>+'Info recibida'!BY14/550</f>
        <v>15036.363636363636</v>
      </c>
      <c r="BY12" s="170">
        <f>+'Info recibida'!BZ14/550</f>
        <v>15788.181818181818</v>
      </c>
      <c r="BZ12" s="170">
        <f>+'Info recibida'!CA14/550</f>
        <v>16577.590909090908</v>
      </c>
      <c r="CA12" s="170">
        <f>+'Info recibida'!CB14/550</f>
        <v>17406.470454545455</v>
      </c>
      <c r="CB12" s="170">
        <f>+'Info recibida'!CC14/550</f>
        <v>18276.793977272726</v>
      </c>
      <c r="CC12" s="170">
        <f>+'Info recibida'!CD14/550</f>
        <v>19190.633676136364</v>
      </c>
      <c r="CD12" s="170">
        <f>+'Info recibida'!CE14/550</f>
        <v>20150.165359943181</v>
      </c>
      <c r="CE12" s="170">
        <f>+'Info recibida'!CF14/550</f>
        <v>21157.673627940341</v>
      </c>
      <c r="CF12" s="218">
        <f>+'Info recibida'!CG14/550</f>
        <v>22215.55730933736</v>
      </c>
      <c r="CG12" s="213">
        <f>SUM(BX12:CF12)</f>
        <v>165799.43076881178</v>
      </c>
      <c r="CH12" s="217">
        <f>+'Info recibida'!CH14/550</f>
        <v>9623.2727272727279</v>
      </c>
      <c r="CI12" s="217">
        <f>+'Info recibida'!CI14/550</f>
        <v>10104.436363636363</v>
      </c>
      <c r="CJ12" s="217">
        <f>+'Info recibida'!CJ14/550</f>
        <v>10609.658181818182</v>
      </c>
      <c r="CK12" s="217">
        <f>+'Info recibida'!CK14/550</f>
        <v>11140.14109090909</v>
      </c>
      <c r="CL12" s="217">
        <f>+'Info recibida'!CL14/550</f>
        <v>11697.148145454545</v>
      </c>
      <c r="CM12" s="217">
        <f>+'Info recibida'!CM14/550</f>
        <v>12282.005552727273</v>
      </c>
      <c r="CN12" s="217">
        <f>+'Info recibida'!CN14/550</f>
        <v>12896.105830363635</v>
      </c>
      <c r="CO12" s="217">
        <f>+'Info recibida'!CO14/550</f>
        <v>13540.911121881818</v>
      </c>
      <c r="CP12" s="217">
        <f>+'Info recibida'!CP14/550</f>
        <v>14217.956677975908</v>
      </c>
      <c r="CQ12" s="213">
        <f>+'Info recibida'!CQ14/550</f>
        <v>106111.63569203955</v>
      </c>
      <c r="CR12" s="70"/>
      <c r="CS12" s="220">
        <v>89000</v>
      </c>
      <c r="CT12" s="71" t="s">
        <v>378</v>
      </c>
      <c r="CU12" s="210"/>
      <c r="CV12" s="210"/>
      <c r="CW12" s="210"/>
      <c r="CX12" s="210"/>
      <c r="CY12" s="221">
        <f>+'Info recibida'!CY14/550</f>
        <v>17111.635692039552</v>
      </c>
      <c r="CZ12" s="222"/>
      <c r="DA12" s="512"/>
    </row>
    <row r="13" spans="2:105" ht="26.1" customHeight="1" x14ac:dyDescent="0.25">
      <c r="B13" s="184" t="s">
        <v>8</v>
      </c>
      <c r="C13" s="185" t="s">
        <v>355</v>
      </c>
      <c r="D13" s="74" t="s">
        <v>9</v>
      </c>
      <c r="E13" s="75" t="s">
        <v>402</v>
      </c>
      <c r="F13" s="75" t="s">
        <v>373</v>
      </c>
      <c r="G13" s="88" t="s">
        <v>101</v>
      </c>
      <c r="H13" s="49"/>
      <c r="I13" s="49" t="s">
        <v>230</v>
      </c>
      <c r="J13" s="206"/>
      <c r="K13" s="207"/>
      <c r="L13" s="208"/>
      <c r="M13" s="103"/>
      <c r="N13" s="204" t="s">
        <v>374</v>
      </c>
      <c r="O13" s="47" t="s">
        <v>9</v>
      </c>
      <c r="P13" s="48" t="s">
        <v>402</v>
      </c>
      <c r="Q13" s="48" t="s">
        <v>314</v>
      </c>
      <c r="R13" s="48" t="s">
        <v>314</v>
      </c>
      <c r="S13" s="48" t="s">
        <v>314</v>
      </c>
      <c r="T13" s="48"/>
      <c r="U13" s="48" t="s">
        <v>314</v>
      </c>
      <c r="V13" s="48"/>
      <c r="W13" s="48" t="s">
        <v>314</v>
      </c>
      <c r="X13" s="48"/>
      <c r="Y13" s="48"/>
      <c r="Z13" s="48"/>
      <c r="AA13" s="48"/>
      <c r="AB13" s="48" t="s">
        <v>307</v>
      </c>
      <c r="AC13" s="48"/>
      <c r="AD13" s="48"/>
      <c r="AE13" s="209"/>
      <c r="AF13" s="47" t="s">
        <v>315</v>
      </c>
      <c r="AG13" s="210" t="s">
        <v>339</v>
      </c>
      <c r="AH13" s="68" t="s">
        <v>505</v>
      </c>
      <c r="AI13" s="170">
        <v>0</v>
      </c>
      <c r="AJ13" s="170">
        <f>(0*0.658)/471000</f>
        <v>0</v>
      </c>
      <c r="AK13" s="170">
        <f t="shared" ref="AK13:AR13" si="3">(2062500000*0.658)/(471000)</f>
        <v>2881.3694267515925</v>
      </c>
      <c r="AL13" s="170">
        <f t="shared" si="3"/>
        <v>2881.3694267515925</v>
      </c>
      <c r="AM13" s="170">
        <f t="shared" si="3"/>
        <v>2881.3694267515925</v>
      </c>
      <c r="AN13" s="170">
        <f t="shared" si="3"/>
        <v>2881.3694267515925</v>
      </c>
      <c r="AO13" s="170">
        <f t="shared" si="3"/>
        <v>2881.3694267515925</v>
      </c>
      <c r="AP13" s="170">
        <f t="shared" si="3"/>
        <v>2881.3694267515925</v>
      </c>
      <c r="AQ13" s="170">
        <f t="shared" si="3"/>
        <v>2881.3694267515925</v>
      </c>
      <c r="AR13" s="170">
        <f t="shared" si="3"/>
        <v>2881.3694267515925</v>
      </c>
      <c r="AS13" s="170"/>
      <c r="AT13" s="170"/>
      <c r="AU13" s="170">
        <v>0</v>
      </c>
      <c r="AV13" s="170">
        <f t="shared" ref="AV13:BC13" si="4">+(2750000000*0.658)/(471000)</f>
        <v>3841.8259023354562</v>
      </c>
      <c r="AW13" s="170">
        <f t="shared" si="4"/>
        <v>3841.8259023354562</v>
      </c>
      <c r="AX13" s="170">
        <f t="shared" si="4"/>
        <v>3841.8259023354562</v>
      </c>
      <c r="AY13" s="170">
        <f t="shared" si="4"/>
        <v>3841.8259023354562</v>
      </c>
      <c r="AZ13" s="170">
        <f t="shared" si="4"/>
        <v>3841.8259023354562</v>
      </c>
      <c r="BA13" s="170">
        <f t="shared" si="4"/>
        <v>3841.8259023354562</v>
      </c>
      <c r="BB13" s="170">
        <f t="shared" si="4"/>
        <v>3841.8259023354562</v>
      </c>
      <c r="BC13" s="170">
        <f t="shared" si="4"/>
        <v>3841.8259023354562</v>
      </c>
      <c r="BD13" s="48"/>
      <c r="BE13" s="48"/>
      <c r="BF13" s="206"/>
      <c r="BG13" s="68" t="s">
        <v>312</v>
      </c>
      <c r="BH13" s="48" t="s">
        <v>313</v>
      </c>
      <c r="BI13" s="211">
        <f>+'Info recibida'!BJ6/550</f>
        <v>0</v>
      </c>
      <c r="BJ13" s="170">
        <f>+'Info recibida'!BK6/550</f>
        <v>0</v>
      </c>
      <c r="BK13" s="170">
        <f>+'Info recibida'!BL6/550</f>
        <v>3750000</v>
      </c>
      <c r="BL13" s="170">
        <f>+'Info recibida'!BM6/550</f>
        <v>3750000</v>
      </c>
      <c r="BM13" s="170">
        <f>+'Info recibida'!BN6/550</f>
        <v>3750000</v>
      </c>
      <c r="BN13" s="170">
        <f>+'Info recibida'!BO6/550</f>
        <v>3750000</v>
      </c>
      <c r="BO13" s="170">
        <f>+'Info recibida'!BP6/550</f>
        <v>3750000</v>
      </c>
      <c r="BP13" s="170">
        <f>+'Info recibida'!BQ6/550</f>
        <v>3750000</v>
      </c>
      <c r="BQ13" s="170">
        <f>+'Info recibida'!BR6/550</f>
        <v>3750000</v>
      </c>
      <c r="BR13" s="170">
        <f>+'Info recibida'!BS6/550</f>
        <v>3750000</v>
      </c>
      <c r="BS13" s="170">
        <f>+'Info recibida'!BT6/550</f>
        <v>30000000</v>
      </c>
      <c r="BT13" s="48"/>
      <c r="BU13" s="48"/>
      <c r="BV13" s="215">
        <v>1</v>
      </c>
      <c r="BW13" s="243" t="s">
        <v>383</v>
      </c>
      <c r="BX13" s="212">
        <f>+'Info recibida'!BY6/550</f>
        <v>0</v>
      </c>
      <c r="BY13" s="170">
        <f>+'Info recibida'!BZ6/550</f>
        <v>5000000</v>
      </c>
      <c r="BZ13" s="170">
        <f>+'Info recibida'!CA6/550</f>
        <v>5000000</v>
      </c>
      <c r="CA13" s="170">
        <f>+'Info recibida'!CB6/550</f>
        <v>5000000</v>
      </c>
      <c r="CB13" s="170">
        <f>+'Info recibida'!CC6/550</f>
        <v>5000000</v>
      </c>
      <c r="CC13" s="170">
        <f>+'Info recibida'!CD6/550</f>
        <v>5000000</v>
      </c>
      <c r="CD13" s="170">
        <f>+'Info recibida'!CE6/550</f>
        <v>5000000</v>
      </c>
      <c r="CE13" s="170">
        <f>+'Info recibida'!CF6/550</f>
        <v>5000000</v>
      </c>
      <c r="CF13" s="218">
        <f>+'Info recibida'!CG6/550</f>
        <v>5000000</v>
      </c>
      <c r="CG13" s="213">
        <f>SUM(BX13:CF13)</f>
        <v>40000000</v>
      </c>
      <c r="CH13" s="217">
        <f>+'Info recibida'!CH6/550</f>
        <v>0</v>
      </c>
      <c r="CI13" s="217">
        <f>+'Info recibida'!CI6/550</f>
        <v>1250000</v>
      </c>
      <c r="CJ13" s="217">
        <f>+'Info recibida'!CJ6/550</f>
        <v>1250000</v>
      </c>
      <c r="CK13" s="217">
        <f>+'Info recibida'!CK6/550</f>
        <v>1250000</v>
      </c>
      <c r="CL13" s="217">
        <f>+'Info recibida'!CL6/550</f>
        <v>1250000</v>
      </c>
      <c r="CM13" s="217">
        <f>+'Info recibida'!CM6/550</f>
        <v>1250000</v>
      </c>
      <c r="CN13" s="217">
        <f>+'Info recibida'!CN6/550</f>
        <v>1250000</v>
      </c>
      <c r="CO13" s="217">
        <f>+'Info recibida'!CO6/550</f>
        <v>1250000</v>
      </c>
      <c r="CP13" s="217">
        <f>+'Info recibida'!CP6/550</f>
        <v>1250000</v>
      </c>
      <c r="CQ13" s="213">
        <f>+'Info recibida'!CQ6/550</f>
        <v>10000000</v>
      </c>
      <c r="CR13" s="70"/>
      <c r="CS13" s="71"/>
      <c r="CT13" s="71"/>
      <c r="CU13" s="210"/>
      <c r="CV13" s="210"/>
      <c r="CW13" s="210"/>
      <c r="CX13" s="210"/>
      <c r="CY13" s="221">
        <f>+'Info recibida'!CY6/550</f>
        <v>10000000</v>
      </c>
      <c r="CZ13" s="222" t="s">
        <v>375</v>
      </c>
      <c r="DA13" s="512"/>
    </row>
    <row r="14" spans="2:105" ht="26.1" customHeight="1" x14ac:dyDescent="0.25">
      <c r="B14" s="204"/>
      <c r="C14" s="205"/>
      <c r="D14" s="47" t="s">
        <v>9</v>
      </c>
      <c r="E14" s="48" t="s">
        <v>402</v>
      </c>
      <c r="F14" s="48" t="s">
        <v>373</v>
      </c>
      <c r="G14" s="48" t="s">
        <v>101</v>
      </c>
      <c r="H14" s="49"/>
      <c r="I14" s="49"/>
      <c r="J14" s="206"/>
      <c r="K14" s="207"/>
      <c r="L14" s="208"/>
      <c r="M14" s="103"/>
      <c r="N14" s="204"/>
      <c r="O14" s="47"/>
      <c r="P14" s="48"/>
      <c r="Q14" s="48"/>
      <c r="R14" s="48"/>
      <c r="S14" s="48"/>
      <c r="T14" s="48"/>
      <c r="U14" s="48"/>
      <c r="V14" s="48"/>
      <c r="W14" s="48"/>
      <c r="X14" s="48"/>
      <c r="Y14" s="48"/>
      <c r="Z14" s="48"/>
      <c r="AA14" s="48"/>
      <c r="AB14" s="48"/>
      <c r="AC14" s="48"/>
      <c r="AD14" s="48"/>
      <c r="AE14" s="209"/>
      <c r="AF14" s="47"/>
      <c r="AG14" s="210"/>
      <c r="AH14" s="68" t="s">
        <v>506</v>
      </c>
      <c r="AI14" s="170"/>
      <c r="AJ14" s="170">
        <f>(0*0.342)/247118</f>
        <v>0</v>
      </c>
      <c r="AK14" s="170">
        <f t="shared" ref="AK14:AR14" si="5">(2062500000*0.342)/(247118)</f>
        <v>2854.4055876140142</v>
      </c>
      <c r="AL14" s="170">
        <f t="shared" si="5"/>
        <v>2854.4055876140142</v>
      </c>
      <c r="AM14" s="170">
        <f t="shared" si="5"/>
        <v>2854.4055876140142</v>
      </c>
      <c r="AN14" s="170">
        <f t="shared" si="5"/>
        <v>2854.4055876140142</v>
      </c>
      <c r="AO14" s="170">
        <f t="shared" si="5"/>
        <v>2854.4055876140142</v>
      </c>
      <c r="AP14" s="170">
        <f t="shared" si="5"/>
        <v>2854.4055876140142</v>
      </c>
      <c r="AQ14" s="170">
        <f t="shared" si="5"/>
        <v>2854.4055876140142</v>
      </c>
      <c r="AR14" s="170">
        <f t="shared" si="5"/>
        <v>2854.4055876140142</v>
      </c>
      <c r="AS14" s="170"/>
      <c r="AT14" s="170"/>
      <c r="AU14" s="170">
        <f>(0*0.342)/247118</f>
        <v>0</v>
      </c>
      <c r="AV14" s="170">
        <f t="shared" ref="AV14:BC14" si="6">(2750000000*0.342)/(247118)</f>
        <v>3805.8741168186862</v>
      </c>
      <c r="AW14" s="170">
        <f t="shared" si="6"/>
        <v>3805.8741168186862</v>
      </c>
      <c r="AX14" s="170">
        <f t="shared" si="6"/>
        <v>3805.8741168186862</v>
      </c>
      <c r="AY14" s="170">
        <f t="shared" si="6"/>
        <v>3805.8741168186862</v>
      </c>
      <c r="AZ14" s="170">
        <f t="shared" si="6"/>
        <v>3805.8741168186862</v>
      </c>
      <c r="BA14" s="170">
        <f t="shared" si="6"/>
        <v>3805.8741168186862</v>
      </c>
      <c r="BB14" s="170">
        <f t="shared" si="6"/>
        <v>3805.8741168186862</v>
      </c>
      <c r="BC14" s="170">
        <f t="shared" si="6"/>
        <v>3805.8741168186862</v>
      </c>
      <c r="BD14" s="48"/>
      <c r="BE14" s="48"/>
      <c r="BF14" s="206"/>
      <c r="BG14" s="68"/>
      <c r="BH14" s="48"/>
      <c r="BI14" s="211">
        <f>+'Info recibida'!BJ7/550</f>
        <v>0</v>
      </c>
      <c r="BJ14" s="170">
        <f>+'Info recibida'!BK7/550</f>
        <v>0</v>
      </c>
      <c r="BK14" s="170">
        <f>+'Info recibida'!BL7/550</f>
        <v>0</v>
      </c>
      <c r="BL14" s="170">
        <f>+'Info recibida'!BM7/550</f>
        <v>0</v>
      </c>
      <c r="BM14" s="170">
        <f>+'Info recibida'!BN7/550</f>
        <v>0</v>
      </c>
      <c r="BN14" s="170">
        <f>+'Info recibida'!BO7/550</f>
        <v>0</v>
      </c>
      <c r="BO14" s="170">
        <f>+'Info recibida'!BP7/550</f>
        <v>0</v>
      </c>
      <c r="BP14" s="170">
        <f>+'Info recibida'!BQ7/550</f>
        <v>0</v>
      </c>
      <c r="BQ14" s="170">
        <f>+'Info recibida'!BR7/550</f>
        <v>0</v>
      </c>
      <c r="BR14" s="170">
        <f>+'Info recibida'!BS7/550</f>
        <v>0</v>
      </c>
      <c r="BS14" s="170">
        <f>+'Info recibida'!BT7/550</f>
        <v>0</v>
      </c>
      <c r="BT14" s="48"/>
      <c r="BU14" s="48"/>
      <c r="BV14" s="215"/>
      <c r="BW14" s="243"/>
      <c r="BX14" s="212">
        <f>+'Info recibida'!BY7/550</f>
        <v>0</v>
      </c>
      <c r="BY14" s="170">
        <f>+'Info recibida'!BZ7/550</f>
        <v>0</v>
      </c>
      <c r="BZ14" s="170">
        <f>+'Info recibida'!CA7/550</f>
        <v>0</v>
      </c>
      <c r="CA14" s="170">
        <f>+'Info recibida'!CB7/550</f>
        <v>0</v>
      </c>
      <c r="CB14" s="170">
        <f>+'Info recibida'!CC7/550</f>
        <v>0</v>
      </c>
      <c r="CC14" s="170">
        <f>+'Info recibida'!CD7/550</f>
        <v>0</v>
      </c>
      <c r="CD14" s="170">
        <f>+'Info recibida'!CE7/550</f>
        <v>0</v>
      </c>
      <c r="CE14" s="170">
        <f>+'Info recibida'!CF7/550</f>
        <v>0</v>
      </c>
      <c r="CF14" s="218">
        <f>+'Info recibida'!CG7/550</f>
        <v>0</v>
      </c>
      <c r="CG14" s="213"/>
      <c r="CH14" s="217">
        <f>+'Info recibida'!CH7/550</f>
        <v>0</v>
      </c>
      <c r="CI14" s="170">
        <f>+'Info recibida'!CI7/550</f>
        <v>0</v>
      </c>
      <c r="CJ14" s="170">
        <f>+'Info recibida'!CJ7/550</f>
        <v>0</v>
      </c>
      <c r="CK14" s="170">
        <f>+'Info recibida'!CK7/550</f>
        <v>0</v>
      </c>
      <c r="CL14" s="170">
        <f>+'Info recibida'!CL7/550</f>
        <v>0</v>
      </c>
      <c r="CM14" s="170">
        <f>+'Info recibida'!CM7/550</f>
        <v>0</v>
      </c>
      <c r="CN14" s="170">
        <f>+'Info recibida'!CN7/550</f>
        <v>0</v>
      </c>
      <c r="CO14" s="170">
        <f>+'Info recibida'!CO7/550</f>
        <v>0</v>
      </c>
      <c r="CP14" s="170">
        <f>+'Info recibida'!CP7/550</f>
        <v>0</v>
      </c>
      <c r="CQ14" s="213">
        <f>+'Info recibida'!CQ7/550</f>
        <v>0</v>
      </c>
      <c r="CR14" s="70"/>
      <c r="CS14" s="71"/>
      <c r="CT14" s="71"/>
      <c r="CU14" s="210"/>
      <c r="CV14" s="210"/>
      <c r="CW14" s="210"/>
      <c r="CX14" s="210"/>
      <c r="CY14" s="221">
        <f>+'Info recibida'!CY7/550</f>
        <v>0</v>
      </c>
      <c r="CZ14" s="222"/>
      <c r="DA14" s="512"/>
    </row>
    <row r="15" spans="2:105" ht="26.1" customHeight="1" x14ac:dyDescent="0.25">
      <c r="B15" s="312" t="s">
        <v>71</v>
      </c>
      <c r="C15" s="205" t="s">
        <v>357</v>
      </c>
      <c r="D15" s="47" t="s">
        <v>1</v>
      </c>
      <c r="E15" s="255"/>
      <c r="F15" s="77" t="s">
        <v>400</v>
      </c>
      <c r="G15" s="48" t="s">
        <v>125</v>
      </c>
      <c r="H15" s="49" t="s">
        <v>245</v>
      </c>
      <c r="I15" s="49" t="s">
        <v>230</v>
      </c>
      <c r="J15" s="206"/>
      <c r="K15" s="207"/>
      <c r="L15" s="208"/>
      <c r="N15" s="312" t="s">
        <v>71</v>
      </c>
      <c r="O15" s="332"/>
      <c r="P15" s="77" t="s">
        <v>400</v>
      </c>
      <c r="Q15" s="255"/>
      <c r="R15" s="255"/>
      <c r="S15" s="255"/>
      <c r="T15" s="255"/>
      <c r="U15" s="255"/>
      <c r="V15" s="255"/>
      <c r="W15" s="255"/>
      <c r="X15" s="255"/>
      <c r="Y15" s="255"/>
      <c r="Z15" s="255"/>
      <c r="AA15" s="255"/>
      <c r="AB15" s="255"/>
      <c r="AC15" s="255"/>
      <c r="AD15" s="255"/>
      <c r="AE15" s="333"/>
      <c r="AF15" s="332"/>
      <c r="AG15" s="255"/>
      <c r="AH15" s="255"/>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334"/>
      <c r="BF15" s="332"/>
      <c r="BG15" s="68" t="s">
        <v>349</v>
      </c>
      <c r="BH15" s="335" t="s">
        <v>323</v>
      </c>
      <c r="BI15" s="414">
        <f>+'Info recibida'!BJ75/550</f>
        <v>0</v>
      </c>
      <c r="BJ15" s="272">
        <f>+'Info recibida'!BK75/550</f>
        <v>0</v>
      </c>
      <c r="BK15" s="272">
        <f>+'Info recibida'!BL75/550</f>
        <v>0</v>
      </c>
      <c r="BL15" s="272">
        <f>+'Info recibida'!BM75/550</f>
        <v>0</v>
      </c>
      <c r="BM15" s="272">
        <f>+'Info recibida'!BN75/550</f>
        <v>0</v>
      </c>
      <c r="BN15" s="272">
        <f>+'Info recibida'!BO75/550</f>
        <v>0</v>
      </c>
      <c r="BO15" s="272">
        <f>+'Info recibida'!BP75/550</f>
        <v>0</v>
      </c>
      <c r="BP15" s="272">
        <f>+'Info recibida'!BQ75/550</f>
        <v>0</v>
      </c>
      <c r="BQ15" s="272">
        <f>+'Info recibida'!BR75/550</f>
        <v>0</v>
      </c>
      <c r="BR15" s="272">
        <f>+'Info recibida'!BS75/550</f>
        <v>0</v>
      </c>
      <c r="BS15" s="170">
        <f>+'Info recibida'!BT75/550</f>
        <v>0</v>
      </c>
      <c r="BT15" s="255"/>
      <c r="BU15" s="255"/>
      <c r="BV15" s="255"/>
      <c r="BW15" s="336"/>
      <c r="BX15" s="337">
        <f>+'Info recibida'!BY75/550</f>
        <v>6000</v>
      </c>
      <c r="BY15" s="272">
        <f>+'Info recibida'!BZ75/550</f>
        <v>6000</v>
      </c>
      <c r="BZ15" s="272">
        <f>+'Info recibida'!CA75/550</f>
        <v>6000</v>
      </c>
      <c r="CA15" s="272">
        <f>+'Info recibida'!CB75/550</f>
        <v>0</v>
      </c>
      <c r="CB15" s="272">
        <f>+'Info recibida'!CC75/550</f>
        <v>0</v>
      </c>
      <c r="CC15" s="272">
        <f>+'Info recibida'!CD75/550</f>
        <v>0</v>
      </c>
      <c r="CD15" s="272">
        <f>+'Info recibida'!CE75/550</f>
        <v>0</v>
      </c>
      <c r="CE15" s="272">
        <f>+'Info recibida'!CF75/550</f>
        <v>0</v>
      </c>
      <c r="CF15" s="502">
        <f>+'Info recibida'!CG75/550</f>
        <v>0</v>
      </c>
      <c r="CG15" s="213">
        <f t="shared" ref="CG15:CG35" si="7">SUM(BX15:CF15)</f>
        <v>18000</v>
      </c>
      <c r="CH15" s="217">
        <f>+'Info recibida'!CH75/550</f>
        <v>6000</v>
      </c>
      <c r="CI15" s="170">
        <f>+'Info recibida'!CI75/550</f>
        <v>6000</v>
      </c>
      <c r="CJ15" s="170">
        <f>+'Info recibida'!CJ75/550</f>
        <v>6000</v>
      </c>
      <c r="CK15" s="170">
        <f>+'Info recibida'!CK75/550</f>
        <v>0</v>
      </c>
      <c r="CL15" s="170">
        <f>+'Info recibida'!CL75/550</f>
        <v>0</v>
      </c>
      <c r="CM15" s="170">
        <f>+'Info recibida'!CM75/550</f>
        <v>0</v>
      </c>
      <c r="CN15" s="170">
        <f>+'Info recibida'!CN75/550</f>
        <v>0</v>
      </c>
      <c r="CO15" s="170">
        <f>+'Info recibida'!CO75/550</f>
        <v>0</v>
      </c>
      <c r="CP15" s="170">
        <f>+'Info recibida'!CP75/550</f>
        <v>0</v>
      </c>
      <c r="CQ15" s="213">
        <f>+'Info recibida'!CQ75/550</f>
        <v>18000</v>
      </c>
      <c r="CR15" s="338"/>
      <c r="CS15" s="220">
        <f>24000*3*1/4</f>
        <v>18000</v>
      </c>
      <c r="CT15" s="255" t="s">
        <v>351</v>
      </c>
      <c r="CU15" s="255"/>
      <c r="CV15" s="255"/>
      <c r="CW15" s="255"/>
      <c r="CX15" s="255"/>
      <c r="CY15" s="221">
        <f>+'Info recibida'!CY75/550</f>
        <v>0</v>
      </c>
      <c r="CZ15" s="333"/>
      <c r="DA15" s="512"/>
    </row>
    <row r="16" spans="2:105" ht="26.1" customHeight="1" x14ac:dyDescent="0.25">
      <c r="B16" s="312" t="s">
        <v>86</v>
      </c>
      <c r="C16" s="205" t="s">
        <v>357</v>
      </c>
      <c r="D16" s="47" t="s">
        <v>1</v>
      </c>
      <c r="E16" s="255"/>
      <c r="F16" s="48" t="s">
        <v>87</v>
      </c>
      <c r="G16" s="48" t="s">
        <v>133</v>
      </c>
      <c r="H16" s="49"/>
      <c r="I16" s="49" t="s">
        <v>230</v>
      </c>
      <c r="J16" s="206"/>
      <c r="K16" s="207"/>
      <c r="L16" s="208"/>
      <c r="N16" s="312" t="s">
        <v>86</v>
      </c>
      <c r="O16" s="345" t="s">
        <v>4</v>
      </c>
      <c r="P16" s="346" t="s">
        <v>87</v>
      </c>
      <c r="Q16" s="255" t="s">
        <v>314</v>
      </c>
      <c r="R16" s="255" t="s">
        <v>314</v>
      </c>
      <c r="S16" s="255" t="s">
        <v>314</v>
      </c>
      <c r="T16" s="255"/>
      <c r="U16" s="255" t="s">
        <v>314</v>
      </c>
      <c r="V16" s="255"/>
      <c r="W16" s="255" t="s">
        <v>307</v>
      </c>
      <c r="X16" s="255"/>
      <c r="Y16" s="255"/>
      <c r="Z16" s="255"/>
      <c r="AA16" s="255"/>
      <c r="AB16" s="255"/>
      <c r="AC16" s="255"/>
      <c r="AD16" s="255"/>
      <c r="AE16" s="333"/>
      <c r="AF16" s="332"/>
      <c r="AG16" s="255"/>
      <c r="AH16" s="255" t="s">
        <v>480</v>
      </c>
      <c r="AI16" s="170"/>
      <c r="AJ16" s="170">
        <v>0</v>
      </c>
      <c r="AK16" s="170">
        <v>0</v>
      </c>
      <c r="AL16" s="170">
        <v>0</v>
      </c>
      <c r="AM16" s="170">
        <v>0</v>
      </c>
      <c r="AN16" s="170">
        <v>0</v>
      </c>
      <c r="AO16" s="170">
        <v>0</v>
      </c>
      <c r="AP16" s="170">
        <v>0</v>
      </c>
      <c r="AQ16" s="170">
        <v>0</v>
      </c>
      <c r="AR16" s="170">
        <v>0</v>
      </c>
      <c r="AS16" s="272"/>
      <c r="AT16" s="272"/>
      <c r="AU16" s="272">
        <v>0</v>
      </c>
      <c r="AV16" s="272">
        <v>0</v>
      </c>
      <c r="AW16" s="272">
        <v>0</v>
      </c>
      <c r="AX16" s="272">
        <v>0</v>
      </c>
      <c r="AY16" s="272">
        <v>1</v>
      </c>
      <c r="AZ16" s="272">
        <v>0</v>
      </c>
      <c r="BA16" s="272">
        <v>0</v>
      </c>
      <c r="BB16" s="272">
        <v>0</v>
      </c>
      <c r="BC16" s="272">
        <v>0</v>
      </c>
      <c r="BD16" s="272"/>
      <c r="BE16" s="334"/>
      <c r="BF16" s="332"/>
      <c r="BG16" s="68" t="s">
        <v>349</v>
      </c>
      <c r="BH16" s="335" t="s">
        <v>323</v>
      </c>
      <c r="BI16" s="414">
        <f>+'Info recibida'!BJ89/550</f>
        <v>0</v>
      </c>
      <c r="BJ16" s="170">
        <f>+'Info recibida'!BK89/550</f>
        <v>0</v>
      </c>
      <c r="BK16" s="170">
        <f>+'Info recibida'!BL89/550</f>
        <v>0</v>
      </c>
      <c r="BL16" s="170">
        <f>+'Info recibida'!BM89/550</f>
        <v>0</v>
      </c>
      <c r="BM16" s="170">
        <f>+'Info recibida'!BN89/550</f>
        <v>0</v>
      </c>
      <c r="BN16" s="170">
        <f>+'Info recibida'!BO89/550</f>
        <v>0</v>
      </c>
      <c r="BO16" s="170">
        <f>+'Info recibida'!BP89/550</f>
        <v>0</v>
      </c>
      <c r="BP16" s="170">
        <f>+'Info recibida'!BQ89/550</f>
        <v>0</v>
      </c>
      <c r="BQ16" s="170">
        <f>+'Info recibida'!BR89/550</f>
        <v>0</v>
      </c>
      <c r="BR16" s="170">
        <f>+'Info recibida'!BS89/550</f>
        <v>0</v>
      </c>
      <c r="BS16" s="170">
        <f>+'Info recibida'!BT89/550</f>
        <v>0</v>
      </c>
      <c r="BT16" s="255"/>
      <c r="BU16" s="255"/>
      <c r="BV16" s="255"/>
      <c r="BW16" s="336"/>
      <c r="BX16" s="337">
        <f>+'Info recibida'!BY89/550</f>
        <v>20000</v>
      </c>
      <c r="BY16" s="272">
        <f>+'Info recibida'!BZ89/550</f>
        <v>30000</v>
      </c>
      <c r="BZ16" s="272">
        <f>+'Info recibida'!CA89/550</f>
        <v>30000</v>
      </c>
      <c r="CA16" s="272">
        <f>+'Info recibida'!CB89/550</f>
        <v>0</v>
      </c>
      <c r="CB16" s="272">
        <f>+'Info recibida'!CC89/550</f>
        <v>0</v>
      </c>
      <c r="CC16" s="272">
        <f>+'Info recibida'!CD89/550</f>
        <v>0</v>
      </c>
      <c r="CD16" s="272">
        <f>+'Info recibida'!CE89/550</f>
        <v>0</v>
      </c>
      <c r="CE16" s="272">
        <f>+'Info recibida'!CF89/550</f>
        <v>0</v>
      </c>
      <c r="CF16" s="502">
        <f>+'Info recibida'!CG89/550</f>
        <v>0</v>
      </c>
      <c r="CG16" s="213">
        <f t="shared" si="7"/>
        <v>80000</v>
      </c>
      <c r="CH16" s="212">
        <f>+'Info recibida'!CH89/550</f>
        <v>20000</v>
      </c>
      <c r="CI16" s="170">
        <f>+'Info recibida'!CI89/550</f>
        <v>30000</v>
      </c>
      <c r="CJ16" s="170">
        <f>+'Info recibida'!CJ89/550</f>
        <v>30000</v>
      </c>
      <c r="CK16" s="170">
        <f>+'Info recibida'!CK89/550</f>
        <v>0</v>
      </c>
      <c r="CL16" s="170">
        <f>+'Info recibida'!CL89/550</f>
        <v>0</v>
      </c>
      <c r="CM16" s="170">
        <f>+'Info recibida'!CM89/550</f>
        <v>0</v>
      </c>
      <c r="CN16" s="170">
        <f>+'Info recibida'!CN89/550</f>
        <v>0</v>
      </c>
      <c r="CO16" s="170">
        <f>+'Info recibida'!CO89/550</f>
        <v>0</v>
      </c>
      <c r="CP16" s="170">
        <f>+'Info recibida'!CP89/550</f>
        <v>0</v>
      </c>
      <c r="CQ16" s="213">
        <f>+'Info recibida'!CQ89/550</f>
        <v>80000</v>
      </c>
      <c r="CR16" s="338"/>
      <c r="CS16" s="220">
        <v>80000</v>
      </c>
      <c r="CT16" s="255"/>
      <c r="CU16" s="255"/>
      <c r="CV16" s="255"/>
      <c r="CW16" s="255"/>
      <c r="CX16" s="255"/>
      <c r="CY16" s="221">
        <f>+'Info recibida'!CY89/550</f>
        <v>0</v>
      </c>
      <c r="CZ16" s="333"/>
      <c r="DA16" s="514"/>
    </row>
    <row r="17" spans="2:105" ht="26.1" customHeight="1" x14ac:dyDescent="0.25">
      <c r="B17" s="163" t="s">
        <v>91</v>
      </c>
      <c r="C17" s="164" t="s">
        <v>356</v>
      </c>
      <c r="D17" s="74" t="s">
        <v>2</v>
      </c>
      <c r="E17" s="75" t="s">
        <v>403</v>
      </c>
      <c r="F17" s="75" t="s">
        <v>393</v>
      </c>
      <c r="G17" s="88" t="s">
        <v>136</v>
      </c>
      <c r="H17" s="49"/>
      <c r="I17" s="49" t="s">
        <v>234</v>
      </c>
      <c r="J17" s="206"/>
      <c r="K17" s="207"/>
      <c r="L17" s="208"/>
      <c r="N17" s="204" t="s">
        <v>91</v>
      </c>
      <c r="O17" s="47" t="s">
        <v>81</v>
      </c>
      <c r="P17" s="48" t="s">
        <v>403</v>
      </c>
      <c r="Q17" s="48"/>
      <c r="R17" s="48" t="s">
        <v>314</v>
      </c>
      <c r="S17" s="48"/>
      <c r="T17" s="48" t="s">
        <v>307</v>
      </c>
      <c r="U17" s="48"/>
      <c r="V17" s="48"/>
      <c r="W17" s="48" t="s">
        <v>314</v>
      </c>
      <c r="X17" s="48"/>
      <c r="Y17" s="48"/>
      <c r="Z17" s="48"/>
      <c r="AA17" s="48"/>
      <c r="AB17" s="48"/>
      <c r="AC17" s="48"/>
      <c r="AD17" s="48"/>
      <c r="AE17" s="209"/>
      <c r="AF17" s="47" t="s">
        <v>315</v>
      </c>
      <c r="AG17" s="210" t="s">
        <v>319</v>
      </c>
      <c r="AH17" s="68" t="s">
        <v>350</v>
      </c>
      <c r="AI17" s="170"/>
      <c r="AJ17" s="170">
        <v>0</v>
      </c>
      <c r="AK17" s="170">
        <v>0</v>
      </c>
      <c r="AL17" s="170">
        <v>0</v>
      </c>
      <c r="AM17" s="170">
        <v>0</v>
      </c>
      <c r="AN17" s="170">
        <v>0</v>
      </c>
      <c r="AO17" s="170">
        <v>0</v>
      </c>
      <c r="AP17" s="170">
        <v>0</v>
      </c>
      <c r="AQ17" s="170">
        <v>0</v>
      </c>
      <c r="AR17" s="170">
        <v>0</v>
      </c>
      <c r="AS17" s="170"/>
      <c r="AT17" s="170"/>
      <c r="AU17" s="170">
        <v>1</v>
      </c>
      <c r="AV17" s="170">
        <v>1</v>
      </c>
      <c r="AW17" s="170">
        <v>1</v>
      </c>
      <c r="AX17" s="170">
        <v>1</v>
      </c>
      <c r="AY17" s="170">
        <v>1</v>
      </c>
      <c r="AZ17" s="170">
        <v>1</v>
      </c>
      <c r="BA17" s="170">
        <v>1</v>
      </c>
      <c r="BB17" s="170">
        <v>1</v>
      </c>
      <c r="BC17" s="170">
        <v>1</v>
      </c>
      <c r="BD17" s="170"/>
      <c r="BE17" s="260"/>
      <c r="BF17" s="206" t="s">
        <v>330</v>
      </c>
      <c r="BG17" s="68" t="s">
        <v>321</v>
      </c>
      <c r="BH17" s="48" t="s">
        <v>323</v>
      </c>
      <c r="BI17" s="211">
        <f>+'Info recibida'!BJ93/550</f>
        <v>0</v>
      </c>
      <c r="BJ17" s="170">
        <f>+'Info recibida'!BK93/550</f>
        <v>0</v>
      </c>
      <c r="BK17" s="170">
        <f>+'Info recibida'!BL93/550</f>
        <v>0</v>
      </c>
      <c r="BL17" s="170">
        <f>+'Info recibida'!BM93/550</f>
        <v>0</v>
      </c>
      <c r="BM17" s="170">
        <f>+'Info recibida'!BN93/550</f>
        <v>0</v>
      </c>
      <c r="BN17" s="170">
        <f>+'Info recibida'!BO93/550</f>
        <v>0</v>
      </c>
      <c r="BO17" s="170">
        <f>+'Info recibida'!BP93/550</f>
        <v>0</v>
      </c>
      <c r="BP17" s="170">
        <f>+'Info recibida'!BQ93/550</f>
        <v>0</v>
      </c>
      <c r="BQ17" s="170">
        <f>+'Info recibida'!BR93/550</f>
        <v>0</v>
      </c>
      <c r="BR17" s="170">
        <f>+'Info recibida'!BS93/550</f>
        <v>0</v>
      </c>
      <c r="BS17" s="170">
        <f>+'Info recibida'!BT93/550</f>
        <v>0</v>
      </c>
      <c r="BT17" s="48"/>
      <c r="BU17" s="48"/>
      <c r="BV17" s="48"/>
      <c r="BW17" s="243"/>
      <c r="BX17" s="212">
        <f>+'Info recibida'!BY93/550</f>
        <v>67600</v>
      </c>
      <c r="BY17" s="170">
        <f>+'Info recibida'!BZ93/550</f>
        <v>68952</v>
      </c>
      <c r="BZ17" s="170">
        <f>+'Info recibida'!CA93/550</f>
        <v>70331.039999999994</v>
      </c>
      <c r="CA17" s="170">
        <f>+'Info recibida'!CB93/550</f>
        <v>71737.660799999998</v>
      </c>
      <c r="CB17" s="170">
        <f>+'Info recibida'!CC93/550</f>
        <v>73172.414015999995</v>
      </c>
      <c r="CC17" s="170">
        <f>+'Info recibida'!CD93/550</f>
        <v>74635.862296320003</v>
      </c>
      <c r="CD17" s="170">
        <f>+'Info recibida'!CE93/550</f>
        <v>76128.5795422464</v>
      </c>
      <c r="CE17" s="170">
        <f>+'Info recibida'!CF93/550</f>
        <v>77651.151133091334</v>
      </c>
      <c r="CF17" s="218">
        <f>+'Info recibida'!CG93/550</f>
        <v>79204.174155753164</v>
      </c>
      <c r="CG17" s="213">
        <f t="shared" si="7"/>
        <v>659412.88194341096</v>
      </c>
      <c r="CH17" s="212">
        <f>+'Info recibida'!CH93/550</f>
        <v>67600</v>
      </c>
      <c r="CI17" s="170">
        <f>+'Info recibida'!CI93/550</f>
        <v>68952</v>
      </c>
      <c r="CJ17" s="170">
        <f>+'Info recibida'!CJ93/550</f>
        <v>70331.039999999994</v>
      </c>
      <c r="CK17" s="170">
        <f>+'Info recibida'!CK93/550</f>
        <v>71737.660799999998</v>
      </c>
      <c r="CL17" s="170">
        <f>+'Info recibida'!CL93/550</f>
        <v>73172.414015999995</v>
      </c>
      <c r="CM17" s="170">
        <f>+'Info recibida'!CM93/550</f>
        <v>74635.862296320003</v>
      </c>
      <c r="CN17" s="170">
        <f>+'Info recibida'!CN93/550</f>
        <v>76128.5795422464</v>
      </c>
      <c r="CO17" s="170">
        <f>+'Info recibida'!CO93/550</f>
        <v>77651.151133091334</v>
      </c>
      <c r="CP17" s="170">
        <f>+'Info recibida'!CP93/550</f>
        <v>79204.174155753164</v>
      </c>
      <c r="CQ17" s="213">
        <f>+'Info recibida'!CQ93/550</f>
        <v>659412.88194341084</v>
      </c>
      <c r="CR17" s="70"/>
      <c r="CS17" s="71"/>
      <c r="CT17" s="71"/>
      <c r="CU17" s="210"/>
      <c r="CV17" s="210"/>
      <c r="CW17" s="210"/>
      <c r="CX17" s="210"/>
      <c r="CY17" s="221">
        <f>+'Info recibida'!CY93/550</f>
        <v>659412.88194341084</v>
      </c>
      <c r="CZ17" s="222"/>
      <c r="DA17" s="512"/>
    </row>
    <row r="18" spans="2:105" ht="26.1" customHeight="1" x14ac:dyDescent="0.25">
      <c r="B18" s="184" t="s">
        <v>92</v>
      </c>
      <c r="C18" s="185" t="s">
        <v>356</v>
      </c>
      <c r="D18" s="74" t="s">
        <v>2</v>
      </c>
      <c r="E18" s="75" t="s">
        <v>403</v>
      </c>
      <c r="F18" s="75" t="s">
        <v>393</v>
      </c>
      <c r="G18" s="88" t="s">
        <v>137</v>
      </c>
      <c r="H18" s="49"/>
      <c r="I18" s="49" t="s">
        <v>229</v>
      </c>
      <c r="J18" s="206"/>
      <c r="K18" s="207"/>
      <c r="L18" s="208"/>
      <c r="N18" s="204" t="s">
        <v>466</v>
      </c>
      <c r="O18" s="47" t="s">
        <v>81</v>
      </c>
      <c r="P18" s="48" t="s">
        <v>403</v>
      </c>
      <c r="Q18" s="48" t="s">
        <v>314</v>
      </c>
      <c r="R18" s="48" t="s">
        <v>314</v>
      </c>
      <c r="S18" s="48"/>
      <c r="T18" s="48" t="s">
        <v>307</v>
      </c>
      <c r="U18" s="48" t="s">
        <v>314</v>
      </c>
      <c r="V18" s="48"/>
      <c r="W18" s="48" t="s">
        <v>314</v>
      </c>
      <c r="X18" s="48"/>
      <c r="Y18" s="48"/>
      <c r="Z18" s="48" t="s">
        <v>314</v>
      </c>
      <c r="AA18" s="48"/>
      <c r="AB18" s="48" t="s">
        <v>314</v>
      </c>
      <c r="AC18" s="48" t="s">
        <v>314</v>
      </c>
      <c r="AD18" s="48" t="s">
        <v>314</v>
      </c>
      <c r="AE18" s="209"/>
      <c r="AF18" s="47" t="s">
        <v>315</v>
      </c>
      <c r="AG18" s="210" t="s">
        <v>319</v>
      </c>
      <c r="AH18" s="68" t="s">
        <v>467</v>
      </c>
      <c r="AI18" s="170"/>
      <c r="AJ18" s="170">
        <v>0</v>
      </c>
      <c r="AK18" s="170">
        <v>0</v>
      </c>
      <c r="AL18" s="170">
        <v>0</v>
      </c>
      <c r="AM18" s="170">
        <v>0</v>
      </c>
      <c r="AN18" s="170">
        <v>0</v>
      </c>
      <c r="AO18" s="170">
        <v>0</v>
      </c>
      <c r="AP18" s="170">
        <v>0</v>
      </c>
      <c r="AQ18" s="170">
        <v>0</v>
      </c>
      <c r="AR18" s="170">
        <v>0</v>
      </c>
      <c r="AS18" s="170"/>
      <c r="AT18" s="170"/>
      <c r="AU18" s="170">
        <v>1</v>
      </c>
      <c r="AV18" s="170">
        <v>1</v>
      </c>
      <c r="AW18" s="170">
        <v>1</v>
      </c>
      <c r="AX18" s="170">
        <v>1</v>
      </c>
      <c r="AY18" s="170">
        <v>1</v>
      </c>
      <c r="AZ18" s="170">
        <v>1</v>
      </c>
      <c r="BA18" s="170">
        <v>1</v>
      </c>
      <c r="BB18" s="170">
        <v>1</v>
      </c>
      <c r="BC18" s="170">
        <v>1</v>
      </c>
      <c r="BD18" s="170"/>
      <c r="BE18" s="260"/>
      <c r="BF18" s="206" t="s">
        <v>330</v>
      </c>
      <c r="BG18" s="68" t="s">
        <v>321</v>
      </c>
      <c r="BH18" s="48" t="s">
        <v>323</v>
      </c>
      <c r="BI18" s="211">
        <f>+'Info recibida'!BJ94/550</f>
        <v>0</v>
      </c>
      <c r="BJ18" s="170">
        <f>+'Info recibida'!BK94/550</f>
        <v>0</v>
      </c>
      <c r="BK18" s="170">
        <f>+'Info recibida'!BL94/550</f>
        <v>0</v>
      </c>
      <c r="BL18" s="170">
        <f>+'Info recibida'!BM94/550</f>
        <v>0</v>
      </c>
      <c r="BM18" s="170">
        <f>+'Info recibida'!BN94/550</f>
        <v>0</v>
      </c>
      <c r="BN18" s="170">
        <f>+'Info recibida'!BO94/550</f>
        <v>0</v>
      </c>
      <c r="BO18" s="170">
        <f>+'Info recibida'!BP94/550</f>
        <v>0</v>
      </c>
      <c r="BP18" s="170">
        <f>+'Info recibida'!BQ94/550</f>
        <v>0</v>
      </c>
      <c r="BQ18" s="170">
        <f>+'Info recibida'!BR94/550</f>
        <v>0</v>
      </c>
      <c r="BR18" s="170">
        <f>+'Info recibida'!BS94/550</f>
        <v>0</v>
      </c>
      <c r="BS18" s="170">
        <f>+'Info recibida'!BT94/550</f>
        <v>0</v>
      </c>
      <c r="BT18" s="48"/>
      <c r="BU18" s="48"/>
      <c r="BV18" s="48"/>
      <c r="BW18" s="243"/>
      <c r="BX18" s="212">
        <f>+'Info recibida'!BY94/550</f>
        <v>24000</v>
      </c>
      <c r="BY18" s="170">
        <f>+'Info recibida'!BZ94/550</f>
        <v>24000</v>
      </c>
      <c r="BZ18" s="170">
        <f>+'Info recibida'!CA94/550</f>
        <v>24000</v>
      </c>
      <c r="CA18" s="170">
        <f>+'Info recibida'!CB94/550</f>
        <v>24000</v>
      </c>
      <c r="CB18" s="170">
        <f>+'Info recibida'!CC94/550</f>
        <v>24000</v>
      </c>
      <c r="CC18" s="170">
        <f>+'Info recibida'!CD94/550</f>
        <v>24000</v>
      </c>
      <c r="CD18" s="170">
        <f>+'Info recibida'!CE94/550</f>
        <v>24000</v>
      </c>
      <c r="CE18" s="170">
        <f>+'Info recibida'!CF94/550</f>
        <v>24000</v>
      </c>
      <c r="CF18" s="218">
        <f>+'Info recibida'!CG94/550</f>
        <v>24000</v>
      </c>
      <c r="CG18" s="213">
        <f t="shared" si="7"/>
        <v>216000</v>
      </c>
      <c r="CH18" s="212">
        <f>+'Info recibida'!CH94/550</f>
        <v>24000</v>
      </c>
      <c r="CI18" s="170">
        <f>+'Info recibida'!CI94/550</f>
        <v>24000</v>
      </c>
      <c r="CJ18" s="170">
        <f>+'Info recibida'!CJ94/550</f>
        <v>24000</v>
      </c>
      <c r="CK18" s="170">
        <f>+'Info recibida'!CK94/550</f>
        <v>24000</v>
      </c>
      <c r="CL18" s="170">
        <f>+'Info recibida'!CL94/550</f>
        <v>24000</v>
      </c>
      <c r="CM18" s="170">
        <f>+'Info recibida'!CM94/550</f>
        <v>24000</v>
      </c>
      <c r="CN18" s="170">
        <f>+'Info recibida'!CN94/550</f>
        <v>24000</v>
      </c>
      <c r="CO18" s="170">
        <f>+'Info recibida'!CO94/550</f>
        <v>24000</v>
      </c>
      <c r="CP18" s="170">
        <f>+'Info recibida'!CP94/550</f>
        <v>24000</v>
      </c>
      <c r="CQ18" s="213">
        <f>+'Info recibida'!CQ94/550</f>
        <v>216000</v>
      </c>
      <c r="CR18" s="70"/>
      <c r="CS18" s="220">
        <f>178000+60000</f>
        <v>238000</v>
      </c>
      <c r="CT18" s="71" t="s">
        <v>351</v>
      </c>
      <c r="CU18" s="210"/>
      <c r="CV18" s="210"/>
      <c r="CW18" s="210"/>
      <c r="CX18" s="210"/>
      <c r="CY18" s="221">
        <f>+'Info recibida'!CY94/550</f>
        <v>-22000</v>
      </c>
      <c r="CZ18" s="222"/>
      <c r="DA18" s="512"/>
    </row>
    <row r="19" spans="2:105" ht="26.1" customHeight="1" x14ac:dyDescent="0.25">
      <c r="B19" s="204" t="s">
        <v>94</v>
      </c>
      <c r="C19" s="205" t="s">
        <v>356</v>
      </c>
      <c r="D19" s="47" t="s">
        <v>2</v>
      </c>
      <c r="E19" s="48" t="s">
        <v>403</v>
      </c>
      <c r="F19" s="48" t="s">
        <v>393</v>
      </c>
      <c r="G19" s="48" t="s">
        <v>138</v>
      </c>
      <c r="H19" s="49" t="s">
        <v>245</v>
      </c>
      <c r="I19" s="49" t="s">
        <v>230</v>
      </c>
      <c r="J19" s="206"/>
      <c r="K19" s="207"/>
      <c r="L19" s="208"/>
      <c r="N19" s="204" t="s">
        <v>94</v>
      </c>
      <c r="O19" s="47" t="s">
        <v>3</v>
      </c>
      <c r="P19" s="48" t="s">
        <v>403</v>
      </c>
      <c r="Q19" s="48"/>
      <c r="R19" s="48" t="s">
        <v>314</v>
      </c>
      <c r="S19" s="48" t="s">
        <v>314</v>
      </c>
      <c r="T19" s="48" t="s">
        <v>307</v>
      </c>
      <c r="U19" s="48"/>
      <c r="V19" s="48"/>
      <c r="W19" s="48" t="s">
        <v>314</v>
      </c>
      <c r="X19" s="48"/>
      <c r="Y19" s="48"/>
      <c r="Z19" s="48"/>
      <c r="AA19" s="48"/>
      <c r="AB19" s="48" t="s">
        <v>314</v>
      </c>
      <c r="AC19" s="48"/>
      <c r="AD19" s="48"/>
      <c r="AE19" s="209"/>
      <c r="AF19" s="47" t="s">
        <v>315</v>
      </c>
      <c r="AG19" s="210" t="s">
        <v>319</v>
      </c>
      <c r="AH19" s="68" t="s">
        <v>352</v>
      </c>
      <c r="AI19" s="170">
        <v>1</v>
      </c>
      <c r="AJ19" s="170">
        <v>0</v>
      </c>
      <c r="AK19" s="170">
        <v>0</v>
      </c>
      <c r="AL19" s="170">
        <v>0</v>
      </c>
      <c r="AM19" s="170">
        <v>0</v>
      </c>
      <c r="AN19" s="170">
        <v>0</v>
      </c>
      <c r="AO19" s="170">
        <v>0</v>
      </c>
      <c r="AP19" s="170">
        <v>0</v>
      </c>
      <c r="AQ19" s="170">
        <v>0</v>
      </c>
      <c r="AR19" s="170">
        <v>0</v>
      </c>
      <c r="AS19" s="170"/>
      <c r="AT19" s="170"/>
      <c r="AU19" s="170">
        <v>1</v>
      </c>
      <c r="AV19" s="170">
        <v>0</v>
      </c>
      <c r="AW19" s="170">
        <v>0</v>
      </c>
      <c r="AX19" s="170">
        <v>0</v>
      </c>
      <c r="AY19" s="170">
        <v>0</v>
      </c>
      <c r="AZ19" s="170">
        <v>0</v>
      </c>
      <c r="BA19" s="170">
        <v>0</v>
      </c>
      <c r="BB19" s="170">
        <v>0</v>
      </c>
      <c r="BC19" s="170">
        <v>0</v>
      </c>
      <c r="BD19" s="170"/>
      <c r="BE19" s="260"/>
      <c r="BF19" s="206" t="s">
        <v>334</v>
      </c>
      <c r="BG19" s="68" t="s">
        <v>321</v>
      </c>
      <c r="BH19" s="48" t="s">
        <v>313</v>
      </c>
      <c r="BI19" s="252">
        <f>+'Info recibida'!BJ96/550</f>
        <v>50000</v>
      </c>
      <c r="BJ19" s="170">
        <f>+'Info recibida'!BK96/550</f>
        <v>0</v>
      </c>
      <c r="BK19" s="170">
        <f>+'Info recibida'!BL96/550</f>
        <v>0</v>
      </c>
      <c r="BL19" s="170">
        <f>+'Info recibida'!BM96/550</f>
        <v>0</v>
      </c>
      <c r="BM19" s="170">
        <f>+'Info recibida'!BN96/550</f>
        <v>0</v>
      </c>
      <c r="BN19" s="170">
        <f>+'Info recibida'!BO96/550</f>
        <v>0</v>
      </c>
      <c r="BO19" s="170">
        <f>+'Info recibida'!BP96/550</f>
        <v>0</v>
      </c>
      <c r="BP19" s="170">
        <f>+'Info recibida'!BQ96/550</f>
        <v>0</v>
      </c>
      <c r="BQ19" s="170">
        <f>+'Info recibida'!BR96/550</f>
        <v>0</v>
      </c>
      <c r="BR19" s="170">
        <f>+'Info recibida'!BS96/550</f>
        <v>0</v>
      </c>
      <c r="BS19" s="170">
        <f>+'Info recibida'!BT96/550</f>
        <v>0</v>
      </c>
      <c r="BT19" s="48"/>
      <c r="BU19" s="48"/>
      <c r="BV19" s="48"/>
      <c r="BW19" s="243"/>
      <c r="BX19" s="212">
        <f>+'Info recibida'!BY96/550</f>
        <v>65000</v>
      </c>
      <c r="BY19" s="170">
        <f>+'Info recibida'!BZ96/550</f>
        <v>0</v>
      </c>
      <c r="BZ19" s="170">
        <f>+'Info recibida'!CA96/550</f>
        <v>45000</v>
      </c>
      <c r="CA19" s="170">
        <f>+'Info recibida'!CB96/550</f>
        <v>0</v>
      </c>
      <c r="CB19" s="170">
        <f>+'Info recibida'!CC96/550</f>
        <v>45000</v>
      </c>
      <c r="CC19" s="170">
        <f>+'Info recibida'!CD96/550</f>
        <v>0</v>
      </c>
      <c r="CD19" s="170">
        <f>+'Info recibida'!CE96/550</f>
        <v>0</v>
      </c>
      <c r="CE19" s="170">
        <f>+'Info recibida'!CF96/550</f>
        <v>0</v>
      </c>
      <c r="CF19" s="218">
        <f>+'Info recibida'!CG96/550</f>
        <v>0</v>
      </c>
      <c r="CG19" s="213">
        <f t="shared" si="7"/>
        <v>155000</v>
      </c>
      <c r="CH19" s="212">
        <f>+'Info recibida'!CH96/550</f>
        <v>65000</v>
      </c>
      <c r="CI19" s="170">
        <f>+'Info recibida'!CI96/550</f>
        <v>0</v>
      </c>
      <c r="CJ19" s="170">
        <f>+'Info recibida'!CJ96/550</f>
        <v>45000</v>
      </c>
      <c r="CK19" s="170">
        <f>+'Info recibida'!CK96/550</f>
        <v>0</v>
      </c>
      <c r="CL19" s="170">
        <f>+'Info recibida'!CL96/550</f>
        <v>45000</v>
      </c>
      <c r="CM19" s="170">
        <f>+'Info recibida'!CM96/550</f>
        <v>0</v>
      </c>
      <c r="CN19" s="170">
        <f>+'Info recibida'!CN96/550</f>
        <v>0</v>
      </c>
      <c r="CO19" s="170">
        <f>+'Info recibida'!CO96/550</f>
        <v>0</v>
      </c>
      <c r="CP19" s="170">
        <f>+'Info recibida'!CP96/550</f>
        <v>0</v>
      </c>
      <c r="CQ19" s="213">
        <f>+'Info recibida'!CQ96/550</f>
        <v>155000</v>
      </c>
      <c r="CR19" s="70"/>
      <c r="CS19" s="76"/>
      <c r="CT19" s="76"/>
      <c r="CU19" s="210"/>
      <c r="CV19" s="210"/>
      <c r="CW19" s="210"/>
      <c r="CX19" s="210"/>
      <c r="CY19" s="221">
        <f>+'Info recibida'!CY96/550</f>
        <v>155000</v>
      </c>
      <c r="CZ19" s="222"/>
      <c r="DA19" s="515"/>
    </row>
    <row r="20" spans="2:105" ht="26.1" customHeight="1" x14ac:dyDescent="0.25">
      <c r="B20" s="312" t="s">
        <v>68</v>
      </c>
      <c r="C20" s="205" t="s">
        <v>357</v>
      </c>
      <c r="D20" s="47" t="s">
        <v>2</v>
      </c>
      <c r="E20" s="255"/>
      <c r="F20" s="77" t="s">
        <v>401</v>
      </c>
      <c r="G20" s="48" t="s">
        <v>123</v>
      </c>
      <c r="H20" s="49"/>
      <c r="I20" s="49" t="s">
        <v>214</v>
      </c>
      <c r="J20" s="206"/>
      <c r="K20" s="207"/>
      <c r="L20" s="208"/>
      <c r="N20" s="312" t="s">
        <v>68</v>
      </c>
      <c r="O20" s="332"/>
      <c r="P20" s="77" t="s">
        <v>401</v>
      </c>
      <c r="Q20" s="255"/>
      <c r="R20" s="255"/>
      <c r="S20" s="255"/>
      <c r="T20" s="255"/>
      <c r="U20" s="255"/>
      <c r="V20" s="255"/>
      <c r="W20" s="255"/>
      <c r="X20" s="255"/>
      <c r="Y20" s="255"/>
      <c r="Z20" s="255"/>
      <c r="AA20" s="255"/>
      <c r="AB20" s="255"/>
      <c r="AC20" s="255"/>
      <c r="AD20" s="255"/>
      <c r="AE20" s="333"/>
      <c r="AF20" s="332"/>
      <c r="AG20" s="255"/>
      <c r="AH20" s="255"/>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334"/>
      <c r="BF20" s="332"/>
      <c r="BG20" s="68" t="s">
        <v>349</v>
      </c>
      <c r="BH20" s="335" t="s">
        <v>323</v>
      </c>
      <c r="BI20" s="414">
        <f>+'Info recibida'!BJ72/550</f>
        <v>0</v>
      </c>
      <c r="BJ20" s="272">
        <f>+'Info recibida'!BK72/550</f>
        <v>0</v>
      </c>
      <c r="BK20" s="272">
        <f>+'Info recibida'!BL72/550</f>
        <v>0</v>
      </c>
      <c r="BL20" s="272">
        <f>+'Info recibida'!BM72/550</f>
        <v>0</v>
      </c>
      <c r="BM20" s="272">
        <f>+'Info recibida'!BN72/550</f>
        <v>0</v>
      </c>
      <c r="BN20" s="272">
        <f>+'Info recibida'!BO72/550</f>
        <v>0</v>
      </c>
      <c r="BO20" s="272">
        <f>+'Info recibida'!BP72/550</f>
        <v>0</v>
      </c>
      <c r="BP20" s="272">
        <f>+'Info recibida'!BQ72/550</f>
        <v>0</v>
      </c>
      <c r="BQ20" s="272">
        <f>+'Info recibida'!BR72/550</f>
        <v>0</v>
      </c>
      <c r="BR20" s="272">
        <f>+'Info recibida'!BS72/550</f>
        <v>0</v>
      </c>
      <c r="BS20" s="170">
        <f>+'Info recibida'!BT72/550</f>
        <v>0</v>
      </c>
      <c r="BT20" s="255"/>
      <c r="BU20" s="255"/>
      <c r="BV20" s="255"/>
      <c r="BW20" s="336"/>
      <c r="BX20" s="337">
        <f>+'Info recibida'!BY72/550</f>
        <v>78500</v>
      </c>
      <c r="BY20" s="272">
        <f>+'Info recibida'!BZ72/550</f>
        <v>60000</v>
      </c>
      <c r="BZ20" s="272">
        <f>+'Info recibida'!CA72/550</f>
        <v>0</v>
      </c>
      <c r="CA20" s="272">
        <f>+'Info recibida'!CB72/550</f>
        <v>0</v>
      </c>
      <c r="CB20" s="272">
        <f>+'Info recibida'!CC72/550</f>
        <v>0</v>
      </c>
      <c r="CC20" s="272">
        <f>+'Info recibida'!CD72/550</f>
        <v>0</v>
      </c>
      <c r="CD20" s="272">
        <f>+'Info recibida'!CE72/550</f>
        <v>0</v>
      </c>
      <c r="CE20" s="272">
        <f>+'Info recibida'!CF72/550</f>
        <v>0</v>
      </c>
      <c r="CF20" s="502">
        <f>+'Info recibida'!CG72/550</f>
        <v>0</v>
      </c>
      <c r="CG20" s="213">
        <f t="shared" si="7"/>
        <v>138500</v>
      </c>
      <c r="CH20" s="212">
        <f>+'Info recibida'!CH72/550</f>
        <v>78500</v>
      </c>
      <c r="CI20" s="170">
        <f>+'Info recibida'!CI72/550</f>
        <v>60000</v>
      </c>
      <c r="CJ20" s="170">
        <f>+'Info recibida'!CJ72/550</f>
        <v>0</v>
      </c>
      <c r="CK20" s="170">
        <f>+'Info recibida'!CK72/550</f>
        <v>0</v>
      </c>
      <c r="CL20" s="170">
        <f>+'Info recibida'!CL72/550</f>
        <v>0</v>
      </c>
      <c r="CM20" s="170">
        <f>+'Info recibida'!CM72/550</f>
        <v>0</v>
      </c>
      <c r="CN20" s="170">
        <f>+'Info recibida'!CN72/550</f>
        <v>0</v>
      </c>
      <c r="CO20" s="170">
        <f>+'Info recibida'!CO72/550</f>
        <v>0</v>
      </c>
      <c r="CP20" s="170">
        <f>+'Info recibida'!CP72/550</f>
        <v>0</v>
      </c>
      <c r="CQ20" s="213">
        <f>+'Info recibida'!CQ72/550</f>
        <v>138500</v>
      </c>
      <c r="CR20" s="338"/>
      <c r="CS20" s="220">
        <v>138500</v>
      </c>
      <c r="CT20" s="255" t="s">
        <v>485</v>
      </c>
      <c r="CU20" s="255"/>
      <c r="CV20" s="255"/>
      <c r="CW20" s="255"/>
      <c r="CX20" s="255"/>
      <c r="CY20" s="221">
        <f>+'Info recibida'!CY72/550</f>
        <v>0</v>
      </c>
      <c r="CZ20" s="222"/>
      <c r="DA20" s="512"/>
    </row>
    <row r="21" spans="2:105" ht="79.5" customHeight="1" x14ac:dyDescent="0.25">
      <c r="B21" s="204" t="s">
        <v>88</v>
      </c>
      <c r="C21" s="205" t="s">
        <v>356</v>
      </c>
      <c r="D21" s="47" t="s">
        <v>2</v>
      </c>
      <c r="E21" s="48" t="s">
        <v>403</v>
      </c>
      <c r="F21" s="48" t="s">
        <v>393</v>
      </c>
      <c r="G21" s="48" t="s">
        <v>134</v>
      </c>
      <c r="H21" s="49" t="s">
        <v>245</v>
      </c>
      <c r="I21" s="49" t="s">
        <v>230</v>
      </c>
      <c r="J21" s="206"/>
      <c r="K21" s="207"/>
      <c r="L21" s="208"/>
      <c r="N21" s="204" t="s">
        <v>88</v>
      </c>
      <c r="O21" s="47" t="s">
        <v>3</v>
      </c>
      <c r="P21" s="48" t="s">
        <v>403</v>
      </c>
      <c r="Q21" s="48"/>
      <c r="R21" s="48" t="s">
        <v>314</v>
      </c>
      <c r="S21" s="48"/>
      <c r="T21" s="48" t="s">
        <v>307</v>
      </c>
      <c r="U21" s="48"/>
      <c r="V21" s="48"/>
      <c r="W21" s="48" t="s">
        <v>314</v>
      </c>
      <c r="X21" s="48"/>
      <c r="Y21" s="48" t="s">
        <v>314</v>
      </c>
      <c r="Z21" s="48"/>
      <c r="AA21" s="48"/>
      <c r="AB21" s="48" t="s">
        <v>314</v>
      </c>
      <c r="AC21" s="48" t="s">
        <v>314</v>
      </c>
      <c r="AD21" s="48"/>
      <c r="AE21" s="209"/>
      <c r="AF21" s="47" t="s">
        <v>315</v>
      </c>
      <c r="AG21" s="210" t="s">
        <v>316</v>
      </c>
      <c r="AH21" s="68" t="s">
        <v>346</v>
      </c>
      <c r="AI21" s="170"/>
      <c r="AJ21" s="170">
        <v>0</v>
      </c>
      <c r="AK21" s="170">
        <v>0</v>
      </c>
      <c r="AL21" s="170">
        <v>0</v>
      </c>
      <c r="AM21" s="170">
        <v>0</v>
      </c>
      <c r="AN21" s="170">
        <v>0</v>
      </c>
      <c r="AO21" s="170">
        <v>0</v>
      </c>
      <c r="AP21" s="170">
        <v>0</v>
      </c>
      <c r="AQ21" s="170">
        <v>0</v>
      </c>
      <c r="AR21" s="170">
        <v>0</v>
      </c>
      <c r="AS21" s="170"/>
      <c r="AT21" s="170"/>
      <c r="AU21" s="170">
        <v>2</v>
      </c>
      <c r="AV21" s="170">
        <v>2</v>
      </c>
      <c r="AW21" s="170">
        <v>2</v>
      </c>
      <c r="AX21" s="170">
        <v>2</v>
      </c>
      <c r="AY21" s="170">
        <v>2</v>
      </c>
      <c r="AZ21" s="170">
        <v>2</v>
      </c>
      <c r="BA21" s="170">
        <v>2</v>
      </c>
      <c r="BB21" s="170">
        <v>2</v>
      </c>
      <c r="BC21" s="170">
        <v>2</v>
      </c>
      <c r="BD21" s="170"/>
      <c r="BE21" s="260"/>
      <c r="BF21" s="206" t="s">
        <v>334</v>
      </c>
      <c r="BG21" s="68" t="s">
        <v>312</v>
      </c>
      <c r="BH21" s="48" t="s">
        <v>323</v>
      </c>
      <c r="BI21" s="211">
        <f>+'Info recibida'!BJ90/550</f>
        <v>0</v>
      </c>
      <c r="BJ21" s="170">
        <f>+'Info recibida'!BK90/550</f>
        <v>0</v>
      </c>
      <c r="BK21" s="170">
        <f>+'Info recibida'!BL90/550</f>
        <v>0</v>
      </c>
      <c r="BL21" s="170">
        <f>+'Info recibida'!BM90/550</f>
        <v>0</v>
      </c>
      <c r="BM21" s="170">
        <f>+'Info recibida'!BN90/550</f>
        <v>0</v>
      </c>
      <c r="BN21" s="170">
        <f>+'Info recibida'!BO90/550</f>
        <v>0</v>
      </c>
      <c r="BO21" s="170">
        <f>+'Info recibida'!BP90/550</f>
        <v>0</v>
      </c>
      <c r="BP21" s="170">
        <f>+'Info recibida'!BQ90/550</f>
        <v>0</v>
      </c>
      <c r="BQ21" s="170">
        <f>+'Info recibida'!BR90/550</f>
        <v>0</v>
      </c>
      <c r="BR21" s="170">
        <f>+'Info recibida'!BS90/550</f>
        <v>0</v>
      </c>
      <c r="BS21" s="170">
        <f>+'Info recibida'!BT90/550</f>
        <v>0</v>
      </c>
      <c r="BT21" s="48"/>
      <c r="BU21" s="48"/>
      <c r="BV21" s="48"/>
      <c r="BW21" s="243"/>
      <c r="BX21" s="212">
        <f>+'Info recibida'!BY90/550</f>
        <v>10000</v>
      </c>
      <c r="BY21" s="170">
        <f>+'Info recibida'!BZ90/550</f>
        <v>10000</v>
      </c>
      <c r="BZ21" s="170">
        <f>+'Info recibida'!CA90/550</f>
        <v>10000</v>
      </c>
      <c r="CA21" s="170">
        <f>+'Info recibida'!CB90/550</f>
        <v>10000</v>
      </c>
      <c r="CB21" s="170">
        <f>+'Info recibida'!CC90/550</f>
        <v>10000</v>
      </c>
      <c r="CC21" s="170">
        <f>+'Info recibida'!CD90/550</f>
        <v>10000</v>
      </c>
      <c r="CD21" s="170">
        <f>+'Info recibida'!CE90/550</f>
        <v>10000</v>
      </c>
      <c r="CE21" s="170">
        <f>+'Info recibida'!CF90/550</f>
        <v>10000</v>
      </c>
      <c r="CF21" s="218">
        <f>+'Info recibida'!CG90/550</f>
        <v>10000</v>
      </c>
      <c r="CG21" s="213">
        <f t="shared" si="7"/>
        <v>90000</v>
      </c>
      <c r="CH21" s="212">
        <f>+'Info recibida'!CH90/550</f>
        <v>10000</v>
      </c>
      <c r="CI21" s="170">
        <f>+'Info recibida'!CI90/550</f>
        <v>10000</v>
      </c>
      <c r="CJ21" s="170">
        <f>+'Info recibida'!CJ90/550</f>
        <v>10000</v>
      </c>
      <c r="CK21" s="170">
        <f>+'Info recibida'!CK90/550</f>
        <v>10000</v>
      </c>
      <c r="CL21" s="170">
        <f>+'Info recibida'!CL90/550</f>
        <v>10000</v>
      </c>
      <c r="CM21" s="170">
        <f>+'Info recibida'!CM90/550</f>
        <v>10000</v>
      </c>
      <c r="CN21" s="170">
        <f>+'Info recibida'!CN90/550</f>
        <v>10000</v>
      </c>
      <c r="CO21" s="170">
        <f>+'Info recibida'!CO90/550</f>
        <v>10000</v>
      </c>
      <c r="CP21" s="170">
        <f>+'Info recibida'!CP90/550</f>
        <v>10000</v>
      </c>
      <c r="CQ21" s="213">
        <f>+'Info recibida'!CQ90/550</f>
        <v>90000</v>
      </c>
      <c r="CR21" s="70"/>
      <c r="CS21" s="220">
        <v>190000</v>
      </c>
      <c r="CT21" s="71" t="s">
        <v>347</v>
      </c>
      <c r="CU21" s="210"/>
      <c r="CV21" s="210"/>
      <c r="CW21" s="210"/>
      <c r="CX21" s="210"/>
      <c r="CY21" s="221">
        <f>+'Info recibida'!CY90/550</f>
        <v>-100000</v>
      </c>
      <c r="CZ21" s="222"/>
      <c r="DA21" s="512"/>
    </row>
    <row r="22" spans="2:105" ht="25.5" customHeight="1" thickBot="1" x14ac:dyDescent="0.3">
      <c r="B22" s="163" t="s">
        <v>359</v>
      </c>
      <c r="C22" s="164" t="s">
        <v>357</v>
      </c>
      <c r="D22" s="74" t="s">
        <v>2</v>
      </c>
      <c r="E22" s="48" t="s">
        <v>403</v>
      </c>
      <c r="F22" s="75" t="s">
        <v>393</v>
      </c>
      <c r="G22" s="75" t="s">
        <v>130</v>
      </c>
      <c r="H22" s="49"/>
      <c r="I22" s="49" t="s">
        <v>229</v>
      </c>
      <c r="J22" s="206"/>
      <c r="K22" s="207"/>
      <c r="L22" s="208"/>
      <c r="N22" s="204" t="s">
        <v>80</v>
      </c>
      <c r="O22" s="47" t="s">
        <v>3</v>
      </c>
      <c r="P22" s="48" t="s">
        <v>403</v>
      </c>
      <c r="Q22" s="48" t="s">
        <v>314</v>
      </c>
      <c r="R22" s="48" t="s">
        <v>314</v>
      </c>
      <c r="S22" s="48"/>
      <c r="T22" s="48" t="s">
        <v>307</v>
      </c>
      <c r="U22" s="48"/>
      <c r="V22" s="48"/>
      <c r="W22" s="48" t="s">
        <v>314</v>
      </c>
      <c r="X22" s="48"/>
      <c r="Y22" s="48"/>
      <c r="Z22" s="48"/>
      <c r="AA22" s="48"/>
      <c r="AB22" s="48"/>
      <c r="AC22" s="48"/>
      <c r="AD22" s="48" t="s">
        <v>314</v>
      </c>
      <c r="AE22" s="209"/>
      <c r="AF22" s="47" t="s">
        <v>315</v>
      </c>
      <c r="AG22" s="210" t="s">
        <v>319</v>
      </c>
      <c r="AH22" s="68" t="s">
        <v>343</v>
      </c>
      <c r="AI22" s="170"/>
      <c r="AJ22" s="170">
        <v>0</v>
      </c>
      <c r="AK22" s="170">
        <v>0</v>
      </c>
      <c r="AL22" s="170">
        <v>0</v>
      </c>
      <c r="AM22" s="170">
        <v>0</v>
      </c>
      <c r="AN22" s="170">
        <v>0</v>
      </c>
      <c r="AO22" s="170">
        <v>0</v>
      </c>
      <c r="AP22" s="170">
        <v>0</v>
      </c>
      <c r="AQ22" s="170">
        <v>0</v>
      </c>
      <c r="AR22" s="170">
        <v>0</v>
      </c>
      <c r="AS22" s="170"/>
      <c r="AT22" s="170"/>
      <c r="AU22" s="170">
        <v>1</v>
      </c>
      <c r="AV22" s="170">
        <v>1</v>
      </c>
      <c r="AW22" s="170">
        <v>1</v>
      </c>
      <c r="AX22" s="170">
        <v>1</v>
      </c>
      <c r="AY22" s="170">
        <v>1</v>
      </c>
      <c r="AZ22" s="170">
        <v>1</v>
      </c>
      <c r="BA22" s="170">
        <v>1</v>
      </c>
      <c r="BB22" s="170">
        <v>1</v>
      </c>
      <c r="BC22" s="170">
        <v>1</v>
      </c>
      <c r="BD22" s="170"/>
      <c r="BE22" s="260"/>
      <c r="BF22" s="206" t="s">
        <v>81</v>
      </c>
      <c r="BG22" s="68" t="s">
        <v>349</v>
      </c>
      <c r="BH22" s="48" t="s">
        <v>313</v>
      </c>
      <c r="BI22" s="211">
        <f>+'Info recibida'!BJ84/550</f>
        <v>0</v>
      </c>
      <c r="BJ22" s="170">
        <f>+'Info recibida'!BK84/550</f>
        <v>0</v>
      </c>
      <c r="BK22" s="170">
        <f>+'Info recibida'!BL84/550</f>
        <v>0</v>
      </c>
      <c r="BL22" s="170">
        <f>+'Info recibida'!BM84/550</f>
        <v>0</v>
      </c>
      <c r="BM22" s="170">
        <f>+'Info recibida'!BN84/550</f>
        <v>0</v>
      </c>
      <c r="BN22" s="170">
        <f>+'Info recibida'!BO84/550</f>
        <v>0</v>
      </c>
      <c r="BO22" s="170">
        <f>+'Info recibida'!BP84/550</f>
        <v>0</v>
      </c>
      <c r="BP22" s="170">
        <f>+'Info recibida'!BQ84/550</f>
        <v>0</v>
      </c>
      <c r="BQ22" s="170">
        <f>+'Info recibida'!BR84/550</f>
        <v>0</v>
      </c>
      <c r="BR22" s="170">
        <f>+'Info recibida'!BS84/550</f>
        <v>0</v>
      </c>
      <c r="BS22" s="170">
        <f>+'Info recibida'!BT84/550</f>
        <v>0</v>
      </c>
      <c r="BT22" s="48"/>
      <c r="BU22" s="48"/>
      <c r="BV22" s="48"/>
      <c r="BW22" s="243"/>
      <c r="BX22" s="212">
        <f>+'Info recibida'!BY84/550</f>
        <v>6000</v>
      </c>
      <c r="BY22" s="170">
        <f>+'Info recibida'!BZ84/550</f>
        <v>6000</v>
      </c>
      <c r="BZ22" s="170">
        <f>+'Info recibida'!CA84/550</f>
        <v>6000</v>
      </c>
      <c r="CA22" s="170">
        <f>+'Info recibida'!CB84/550</f>
        <v>6000</v>
      </c>
      <c r="CB22" s="170">
        <f>+'Info recibida'!CC84/550</f>
        <v>6000</v>
      </c>
      <c r="CC22" s="170">
        <f>+'Info recibida'!CD84/550</f>
        <v>6000</v>
      </c>
      <c r="CD22" s="170">
        <f>+'Info recibida'!CE84/550</f>
        <v>6000</v>
      </c>
      <c r="CE22" s="170">
        <f>+'Info recibida'!CF84/550</f>
        <v>6000</v>
      </c>
      <c r="CF22" s="218">
        <f>+'Info recibida'!CG84/550</f>
        <v>6000</v>
      </c>
      <c r="CG22" s="213">
        <f t="shared" si="7"/>
        <v>54000</v>
      </c>
      <c r="CH22" s="212">
        <f>+'Info recibida'!CH84/550</f>
        <v>6000</v>
      </c>
      <c r="CI22" s="170">
        <f>+'Info recibida'!CI84/550</f>
        <v>6000</v>
      </c>
      <c r="CJ22" s="170">
        <f>+'Info recibida'!CJ84/550</f>
        <v>6000</v>
      </c>
      <c r="CK22" s="170">
        <f>+'Info recibida'!CK84/550</f>
        <v>6000</v>
      </c>
      <c r="CL22" s="170">
        <f>+'Info recibida'!CL84/550</f>
        <v>6000</v>
      </c>
      <c r="CM22" s="170">
        <f>+'Info recibida'!CM84/550</f>
        <v>6000</v>
      </c>
      <c r="CN22" s="170">
        <f>+'Info recibida'!CN84/550</f>
        <v>6000</v>
      </c>
      <c r="CO22" s="170">
        <f>+'Info recibida'!CO84/550</f>
        <v>6000</v>
      </c>
      <c r="CP22" s="170">
        <f>+'Info recibida'!CP84/550</f>
        <v>6000</v>
      </c>
      <c r="CQ22" s="213">
        <f>+'Info recibida'!CQ84/550</f>
        <v>54000</v>
      </c>
      <c r="CR22" s="70"/>
      <c r="CS22" s="220">
        <f>32000</f>
        <v>32000</v>
      </c>
      <c r="CT22" s="71" t="s">
        <v>469</v>
      </c>
      <c r="CU22" s="210"/>
      <c r="CV22" s="210"/>
      <c r="CW22" s="210"/>
      <c r="CX22" s="210"/>
      <c r="CY22" s="221">
        <f>+'Info recibida'!CY84/550</f>
        <v>22000</v>
      </c>
      <c r="CZ22" s="327"/>
      <c r="DA22" s="512"/>
    </row>
    <row r="23" spans="2:105" ht="25.5" customHeight="1" x14ac:dyDescent="0.25">
      <c r="B23" s="204" t="s">
        <v>79</v>
      </c>
      <c r="C23" s="205" t="s">
        <v>356</v>
      </c>
      <c r="D23" s="47" t="s">
        <v>2</v>
      </c>
      <c r="E23" s="48" t="s">
        <v>403</v>
      </c>
      <c r="F23" s="48" t="s">
        <v>393</v>
      </c>
      <c r="G23" s="48" t="s">
        <v>129</v>
      </c>
      <c r="H23" s="91"/>
      <c r="I23" s="52" t="s">
        <v>229</v>
      </c>
      <c r="J23" s="281"/>
      <c r="K23" s="282"/>
      <c r="L23" s="283"/>
      <c r="N23" s="204" t="s">
        <v>79</v>
      </c>
      <c r="O23" s="47" t="s">
        <v>3</v>
      </c>
      <c r="P23" s="48" t="s">
        <v>403</v>
      </c>
      <c r="Q23" s="48" t="s">
        <v>314</v>
      </c>
      <c r="R23" s="48" t="s">
        <v>314</v>
      </c>
      <c r="S23" s="48" t="s">
        <v>314</v>
      </c>
      <c r="T23" s="48" t="s">
        <v>307</v>
      </c>
      <c r="U23" s="48" t="s">
        <v>314</v>
      </c>
      <c r="V23" s="48"/>
      <c r="W23" s="48" t="s">
        <v>314</v>
      </c>
      <c r="X23" s="48"/>
      <c r="Y23" s="48"/>
      <c r="Z23" s="48"/>
      <c r="AA23" s="48"/>
      <c r="AB23" s="48" t="s">
        <v>314</v>
      </c>
      <c r="AC23" s="48"/>
      <c r="AD23" s="48"/>
      <c r="AE23" s="209"/>
      <c r="AF23" s="47" t="s">
        <v>315</v>
      </c>
      <c r="AG23" s="210" t="s">
        <v>342</v>
      </c>
      <c r="AH23" s="68" t="s">
        <v>468</v>
      </c>
      <c r="AI23" s="170"/>
      <c r="AJ23" s="170">
        <v>0</v>
      </c>
      <c r="AK23" s="170">
        <v>0</v>
      </c>
      <c r="AL23" s="170">
        <v>0</v>
      </c>
      <c r="AM23" s="170">
        <v>0</v>
      </c>
      <c r="AN23" s="170">
        <v>0</v>
      </c>
      <c r="AO23" s="170">
        <v>0</v>
      </c>
      <c r="AP23" s="170">
        <v>0</v>
      </c>
      <c r="AQ23" s="170">
        <v>0</v>
      </c>
      <c r="AR23" s="170">
        <v>0</v>
      </c>
      <c r="AS23" s="170"/>
      <c r="AT23" s="170"/>
      <c r="AU23" s="170">
        <v>1</v>
      </c>
      <c r="AV23" s="170">
        <v>1</v>
      </c>
      <c r="AW23" s="170">
        <v>1</v>
      </c>
      <c r="AX23" s="170">
        <v>1</v>
      </c>
      <c r="AY23" s="170">
        <v>1</v>
      </c>
      <c r="AZ23" s="170">
        <v>1</v>
      </c>
      <c r="BA23" s="170">
        <v>1</v>
      </c>
      <c r="BB23" s="170">
        <v>1</v>
      </c>
      <c r="BC23" s="170">
        <v>1</v>
      </c>
      <c r="BD23" s="170"/>
      <c r="BE23" s="170"/>
      <c r="BF23" s="206" t="s">
        <v>330</v>
      </c>
      <c r="BG23" s="257" t="s">
        <v>321</v>
      </c>
      <c r="BH23" s="48" t="s">
        <v>313</v>
      </c>
      <c r="BI23" s="211">
        <f>+'Info recibida'!BJ83/550</f>
        <v>0</v>
      </c>
      <c r="BJ23" s="170">
        <f>+'Info recibida'!BK83/550</f>
        <v>0</v>
      </c>
      <c r="BK23" s="170">
        <f>+'Info recibida'!BL83/550</f>
        <v>0</v>
      </c>
      <c r="BL23" s="170">
        <f>+'Info recibida'!BM83/550</f>
        <v>0</v>
      </c>
      <c r="BM23" s="170">
        <f>+'Info recibida'!BN83/550</f>
        <v>0</v>
      </c>
      <c r="BN23" s="170">
        <f>+'Info recibida'!BO83/550</f>
        <v>0</v>
      </c>
      <c r="BO23" s="170">
        <f>+'Info recibida'!BP83/550</f>
        <v>0</v>
      </c>
      <c r="BP23" s="170">
        <f>+'Info recibida'!BQ83/550</f>
        <v>0</v>
      </c>
      <c r="BQ23" s="170">
        <f>+'Info recibida'!BR83/550</f>
        <v>0</v>
      </c>
      <c r="BR23" s="170">
        <f>+'Info recibida'!BS83/550</f>
        <v>0</v>
      </c>
      <c r="BS23" s="170">
        <f>+'Info recibida'!BT83/550</f>
        <v>0</v>
      </c>
      <c r="BT23" s="48"/>
      <c r="BU23" s="48"/>
      <c r="BV23" s="48"/>
      <c r="BW23" s="243"/>
      <c r="BX23" s="212">
        <f>+'Info recibida'!BY83/550</f>
        <v>6000</v>
      </c>
      <c r="BY23" s="170">
        <f>+'Info recibida'!BZ83/550</f>
        <v>6000</v>
      </c>
      <c r="BZ23" s="170">
        <f>+'Info recibida'!CA83/550</f>
        <v>6000</v>
      </c>
      <c r="CA23" s="170">
        <f>+'Info recibida'!CB83/550</f>
        <v>6000</v>
      </c>
      <c r="CB23" s="170">
        <f>+'Info recibida'!CC83/550</f>
        <v>6000</v>
      </c>
      <c r="CC23" s="170">
        <f>+'Info recibida'!CD83/550</f>
        <v>6000</v>
      </c>
      <c r="CD23" s="170">
        <f>+'Info recibida'!CE83/550</f>
        <v>6000</v>
      </c>
      <c r="CE23" s="170">
        <f>+'Info recibida'!CF83/550</f>
        <v>6000</v>
      </c>
      <c r="CF23" s="218">
        <f>+'Info recibida'!CG83/550</f>
        <v>6000</v>
      </c>
      <c r="CG23" s="213">
        <f t="shared" si="7"/>
        <v>54000</v>
      </c>
      <c r="CH23" s="217">
        <f>+'Info recibida'!CH83/550</f>
        <v>6000</v>
      </c>
      <c r="CI23" s="217">
        <f>+'Info recibida'!CI83/550</f>
        <v>6000</v>
      </c>
      <c r="CJ23" s="217">
        <f>+'Info recibida'!CJ83/550</f>
        <v>6000</v>
      </c>
      <c r="CK23" s="217">
        <f>+'Info recibida'!CK83/550</f>
        <v>6000</v>
      </c>
      <c r="CL23" s="217">
        <f>+'Info recibida'!CL83/550</f>
        <v>6000</v>
      </c>
      <c r="CM23" s="217">
        <f>+'Info recibida'!CM83/550</f>
        <v>6000</v>
      </c>
      <c r="CN23" s="217">
        <f>+'Info recibida'!CN83/550</f>
        <v>6000</v>
      </c>
      <c r="CO23" s="217">
        <f>+'Info recibida'!CO83/550</f>
        <v>6000</v>
      </c>
      <c r="CP23" s="217">
        <f>+'Info recibida'!CP83/550</f>
        <v>6000</v>
      </c>
      <c r="CQ23" s="213">
        <f>+'Info recibida'!CQ83/550</f>
        <v>54000</v>
      </c>
      <c r="CR23" s="70"/>
      <c r="CS23" s="220">
        <f>(24000+16000+12000)</f>
        <v>52000</v>
      </c>
      <c r="CT23" s="71"/>
      <c r="CU23" s="210"/>
      <c r="CV23" s="210"/>
      <c r="CW23" s="210"/>
      <c r="CX23" s="210"/>
      <c r="CY23" s="221">
        <f>+'Info recibida'!CY83/550</f>
        <v>2000</v>
      </c>
      <c r="CZ23" s="327"/>
      <c r="DA23" s="515"/>
    </row>
    <row r="24" spans="2:105" ht="26.1" customHeight="1" x14ac:dyDescent="0.25">
      <c r="B24" s="204" t="s">
        <v>83</v>
      </c>
      <c r="C24" s="205" t="s">
        <v>357</v>
      </c>
      <c r="D24" s="47" t="s">
        <v>2</v>
      </c>
      <c r="E24" s="48" t="s">
        <v>403</v>
      </c>
      <c r="F24" s="48" t="s">
        <v>393</v>
      </c>
      <c r="G24" s="48" t="s">
        <v>131</v>
      </c>
      <c r="H24" s="49"/>
      <c r="I24" s="49" t="s">
        <v>230</v>
      </c>
      <c r="J24" s="206"/>
      <c r="K24" s="207"/>
      <c r="L24" s="208"/>
      <c r="N24" s="204" t="s">
        <v>83</v>
      </c>
      <c r="O24" s="47" t="s">
        <v>3</v>
      </c>
      <c r="P24" s="48" t="s">
        <v>403</v>
      </c>
      <c r="Q24" s="48" t="s">
        <v>314</v>
      </c>
      <c r="R24" s="48" t="s">
        <v>314</v>
      </c>
      <c r="S24" s="48" t="s">
        <v>314</v>
      </c>
      <c r="T24" s="48" t="s">
        <v>307</v>
      </c>
      <c r="U24" s="48"/>
      <c r="V24" s="48"/>
      <c r="W24" s="48" t="s">
        <v>314</v>
      </c>
      <c r="X24" s="48"/>
      <c r="Y24" s="48"/>
      <c r="Z24" s="48"/>
      <c r="AA24" s="48"/>
      <c r="AB24" s="48"/>
      <c r="AC24" s="48"/>
      <c r="AD24" s="48"/>
      <c r="AE24" s="209"/>
      <c r="AF24" s="47" t="s">
        <v>315</v>
      </c>
      <c r="AG24" s="210" t="s">
        <v>319</v>
      </c>
      <c r="AH24" s="68" t="s">
        <v>344</v>
      </c>
      <c r="AI24" s="170"/>
      <c r="AJ24" s="170">
        <v>0</v>
      </c>
      <c r="AK24" s="170">
        <v>0</v>
      </c>
      <c r="AL24" s="170">
        <v>0</v>
      </c>
      <c r="AM24" s="170">
        <v>0</v>
      </c>
      <c r="AN24" s="170">
        <v>0</v>
      </c>
      <c r="AO24" s="170">
        <v>0</v>
      </c>
      <c r="AP24" s="170">
        <v>0</v>
      </c>
      <c r="AQ24" s="170">
        <v>0</v>
      </c>
      <c r="AR24" s="170">
        <v>0</v>
      </c>
      <c r="AS24" s="170"/>
      <c r="AT24" s="170"/>
      <c r="AU24" s="170">
        <v>1</v>
      </c>
      <c r="AV24" s="170">
        <v>0</v>
      </c>
      <c r="AW24" s="170">
        <v>0</v>
      </c>
      <c r="AX24" s="170">
        <v>0</v>
      </c>
      <c r="AY24" s="170">
        <v>0</v>
      </c>
      <c r="AZ24" s="170">
        <v>0</v>
      </c>
      <c r="BA24" s="170">
        <v>0</v>
      </c>
      <c r="BB24" s="170">
        <v>0</v>
      </c>
      <c r="BC24" s="170">
        <v>0</v>
      </c>
      <c r="BD24" s="170"/>
      <c r="BE24" s="260"/>
      <c r="BF24" s="206" t="s">
        <v>311</v>
      </c>
      <c r="BG24" s="68" t="s">
        <v>349</v>
      </c>
      <c r="BH24" s="48" t="s">
        <v>313</v>
      </c>
      <c r="BI24" s="211">
        <f>+'Info recibida'!BJ86/550</f>
        <v>0</v>
      </c>
      <c r="BJ24" s="170">
        <f>+'Info recibida'!BK86/550</f>
        <v>0</v>
      </c>
      <c r="BK24" s="170">
        <f>+'Info recibida'!BL86/550</f>
        <v>0</v>
      </c>
      <c r="BL24" s="170">
        <f>+'Info recibida'!BM86/550</f>
        <v>0</v>
      </c>
      <c r="BM24" s="170">
        <f>+'Info recibida'!BN86/550</f>
        <v>0</v>
      </c>
      <c r="BN24" s="170">
        <f>+'Info recibida'!BO86/550</f>
        <v>0</v>
      </c>
      <c r="BO24" s="170">
        <f>+'Info recibida'!BP86/550</f>
        <v>0</v>
      </c>
      <c r="BP24" s="170">
        <f>+'Info recibida'!BQ86/550</f>
        <v>0</v>
      </c>
      <c r="BQ24" s="170">
        <f>+'Info recibida'!BR86/550</f>
        <v>0</v>
      </c>
      <c r="BR24" s="170">
        <f>+'Info recibida'!BS86/550</f>
        <v>0</v>
      </c>
      <c r="BS24" s="170">
        <f>+'Info recibida'!BT86/550</f>
        <v>0</v>
      </c>
      <c r="BT24" s="48"/>
      <c r="BU24" s="48"/>
      <c r="BV24" s="48"/>
      <c r="BW24" s="243"/>
      <c r="BX24" s="212">
        <f>+'Info recibida'!BY86/550</f>
        <v>45000</v>
      </c>
      <c r="BY24" s="170">
        <f>+'Info recibida'!BZ86/550</f>
        <v>0</v>
      </c>
      <c r="BZ24" s="170">
        <f>+'Info recibida'!CA86/550</f>
        <v>0</v>
      </c>
      <c r="CA24" s="170">
        <f>+'Info recibida'!CB86/550</f>
        <v>0</v>
      </c>
      <c r="CB24" s="170">
        <f>+'Info recibida'!CC86/550</f>
        <v>0</v>
      </c>
      <c r="CC24" s="170">
        <f>+'Info recibida'!CD86/550</f>
        <v>0</v>
      </c>
      <c r="CD24" s="170">
        <f>+'Info recibida'!CE86/550</f>
        <v>0</v>
      </c>
      <c r="CE24" s="170">
        <f>+'Info recibida'!CF86/550</f>
        <v>0</v>
      </c>
      <c r="CF24" s="218">
        <f>+'Info recibida'!CG86/550</f>
        <v>0</v>
      </c>
      <c r="CG24" s="213">
        <f t="shared" si="7"/>
        <v>45000</v>
      </c>
      <c r="CH24" s="212">
        <f>+'Info recibida'!CH86/550</f>
        <v>45000</v>
      </c>
      <c r="CI24" s="170">
        <f>+'Info recibida'!CI86/550</f>
        <v>0</v>
      </c>
      <c r="CJ24" s="170">
        <f>+'Info recibida'!CJ86/550</f>
        <v>0</v>
      </c>
      <c r="CK24" s="170">
        <f>+'Info recibida'!CK86/550</f>
        <v>0</v>
      </c>
      <c r="CL24" s="170">
        <f>+'Info recibida'!CL86/550</f>
        <v>0</v>
      </c>
      <c r="CM24" s="170">
        <f>+'Info recibida'!CM86/550</f>
        <v>0</v>
      </c>
      <c r="CN24" s="170">
        <f>+'Info recibida'!CN86/550</f>
        <v>0</v>
      </c>
      <c r="CO24" s="170">
        <f>+'Info recibida'!CO86/550</f>
        <v>0</v>
      </c>
      <c r="CP24" s="170">
        <f>+'Info recibida'!CP86/550</f>
        <v>0</v>
      </c>
      <c r="CQ24" s="213">
        <f>+'Info recibida'!CQ86/550</f>
        <v>45000</v>
      </c>
      <c r="CR24" s="70"/>
      <c r="CS24" s="220">
        <f>35000+10000</f>
        <v>45000</v>
      </c>
      <c r="CT24" s="71" t="s">
        <v>345</v>
      </c>
      <c r="CU24" s="210"/>
      <c r="CV24" s="210"/>
      <c r="CW24" s="210"/>
      <c r="CX24" s="210"/>
      <c r="CY24" s="221">
        <f>+'Info recibida'!CY86/550</f>
        <v>0</v>
      </c>
      <c r="CZ24" s="222"/>
      <c r="DA24" s="514"/>
    </row>
    <row r="25" spans="2:105" ht="26.1" customHeight="1" x14ac:dyDescent="0.25">
      <c r="B25" s="204" t="s">
        <v>96</v>
      </c>
      <c r="C25" s="205" t="s">
        <v>355</v>
      </c>
      <c r="D25" s="47" t="s">
        <v>2</v>
      </c>
      <c r="E25" s="48" t="s">
        <v>403</v>
      </c>
      <c r="F25" s="48" t="s">
        <v>393</v>
      </c>
      <c r="G25" s="48" t="s">
        <v>139</v>
      </c>
      <c r="H25" s="49" t="s">
        <v>245</v>
      </c>
      <c r="I25" s="49" t="s">
        <v>230</v>
      </c>
      <c r="J25" s="206"/>
      <c r="K25" s="207"/>
      <c r="L25" s="208"/>
      <c r="N25" s="204" t="s">
        <v>96</v>
      </c>
      <c r="O25" s="47" t="s">
        <v>3</v>
      </c>
      <c r="P25" s="48" t="s">
        <v>403</v>
      </c>
      <c r="Q25" s="48" t="s">
        <v>314</v>
      </c>
      <c r="R25" s="48" t="s">
        <v>314</v>
      </c>
      <c r="S25" s="48" t="s">
        <v>314</v>
      </c>
      <c r="T25" s="48" t="s">
        <v>307</v>
      </c>
      <c r="U25" s="48"/>
      <c r="V25" s="48"/>
      <c r="W25" s="48" t="s">
        <v>314</v>
      </c>
      <c r="X25" s="48"/>
      <c r="Y25" s="48"/>
      <c r="Z25" s="48"/>
      <c r="AA25" s="48"/>
      <c r="AB25" s="48"/>
      <c r="AC25" s="48"/>
      <c r="AD25" s="48"/>
      <c r="AE25" s="209"/>
      <c r="AF25" s="47" t="s">
        <v>315</v>
      </c>
      <c r="AG25" s="210" t="s">
        <v>319</v>
      </c>
      <c r="AH25" s="68" t="s">
        <v>353</v>
      </c>
      <c r="AI25" s="170"/>
      <c r="AJ25" s="170">
        <v>0</v>
      </c>
      <c r="AK25" s="170">
        <v>0</v>
      </c>
      <c r="AL25" s="170">
        <v>0</v>
      </c>
      <c r="AM25" s="170">
        <v>0</v>
      </c>
      <c r="AN25" s="170">
        <v>0</v>
      </c>
      <c r="AO25" s="170">
        <v>0</v>
      </c>
      <c r="AP25" s="170">
        <v>0</v>
      </c>
      <c r="AQ25" s="170">
        <v>0</v>
      </c>
      <c r="AR25" s="170">
        <v>0</v>
      </c>
      <c r="AS25" s="170"/>
      <c r="AT25" s="170"/>
      <c r="AU25" s="170">
        <v>1</v>
      </c>
      <c r="AV25" s="170">
        <v>0</v>
      </c>
      <c r="AW25" s="170">
        <v>0</v>
      </c>
      <c r="AX25" s="170">
        <v>0</v>
      </c>
      <c r="AY25" s="170">
        <v>0</v>
      </c>
      <c r="AZ25" s="170">
        <v>0</v>
      </c>
      <c r="BA25" s="170">
        <v>0</v>
      </c>
      <c r="BB25" s="170">
        <v>0</v>
      </c>
      <c r="BC25" s="170">
        <v>0</v>
      </c>
      <c r="BD25" s="170"/>
      <c r="BE25" s="170"/>
      <c r="BF25" s="206" t="s">
        <v>334</v>
      </c>
      <c r="BG25" s="68" t="s">
        <v>312</v>
      </c>
      <c r="BH25" s="48" t="s">
        <v>313</v>
      </c>
      <c r="BI25" s="211">
        <f>+'Info recibida'!BJ98/550</f>
        <v>0</v>
      </c>
      <c r="BJ25" s="218">
        <f>+'Info recibida'!BK98/550</f>
        <v>0</v>
      </c>
      <c r="BK25" s="218">
        <f>+'Info recibida'!BL98/550</f>
        <v>0</v>
      </c>
      <c r="BL25" s="218">
        <f>+'Info recibida'!BM98/550</f>
        <v>0</v>
      </c>
      <c r="BM25" s="218">
        <f>+'Info recibida'!BN98/550</f>
        <v>0</v>
      </c>
      <c r="BN25" s="218">
        <f>+'Info recibida'!BO98/550</f>
        <v>0</v>
      </c>
      <c r="BO25" s="218">
        <f>+'Info recibida'!BP98/550</f>
        <v>0</v>
      </c>
      <c r="BP25" s="218">
        <f>+'Info recibida'!BQ98/550</f>
        <v>0</v>
      </c>
      <c r="BQ25" s="218">
        <f>+'Info recibida'!BR98/550</f>
        <v>0</v>
      </c>
      <c r="BR25" s="218">
        <f>+'Info recibida'!BS98/550</f>
        <v>0</v>
      </c>
      <c r="BS25" s="170">
        <f>+'Info recibida'!BT98/550</f>
        <v>0</v>
      </c>
      <c r="BT25" s="48"/>
      <c r="BU25" s="48"/>
      <c r="BV25" s="48"/>
      <c r="BW25" s="243"/>
      <c r="BX25" s="212">
        <f>+'Info recibida'!BY98/550</f>
        <v>37500</v>
      </c>
      <c r="BY25" s="170">
        <f>+'Info recibida'!BZ98/550</f>
        <v>0</v>
      </c>
      <c r="BZ25" s="170">
        <f>+'Info recibida'!CA98/550</f>
        <v>0</v>
      </c>
      <c r="CA25" s="170">
        <f>+'Info recibida'!CB98/550</f>
        <v>0</v>
      </c>
      <c r="CB25" s="170">
        <f>+'Info recibida'!CC98/550</f>
        <v>0</v>
      </c>
      <c r="CC25" s="170">
        <f>+'Info recibida'!CD98/550</f>
        <v>0</v>
      </c>
      <c r="CD25" s="170">
        <f>+'Info recibida'!CE98/550</f>
        <v>0</v>
      </c>
      <c r="CE25" s="170">
        <f>+'Info recibida'!CF98/550</f>
        <v>0</v>
      </c>
      <c r="CF25" s="218">
        <f>+'Info recibida'!CG98/550</f>
        <v>0</v>
      </c>
      <c r="CG25" s="213">
        <f t="shared" si="7"/>
        <v>37500</v>
      </c>
      <c r="CH25" s="217">
        <f>+'Info recibida'!CH98/550</f>
        <v>37500</v>
      </c>
      <c r="CI25" s="217">
        <f>+'Info recibida'!CI98/550</f>
        <v>0</v>
      </c>
      <c r="CJ25" s="217">
        <f>+'Info recibida'!CJ98/550</f>
        <v>0</v>
      </c>
      <c r="CK25" s="217">
        <f>+'Info recibida'!CK98/550</f>
        <v>0</v>
      </c>
      <c r="CL25" s="217">
        <f>+'Info recibida'!CL98/550</f>
        <v>0</v>
      </c>
      <c r="CM25" s="217">
        <f>+'Info recibida'!CM98/550</f>
        <v>0</v>
      </c>
      <c r="CN25" s="217">
        <f>+'Info recibida'!CN98/550</f>
        <v>0</v>
      </c>
      <c r="CO25" s="217">
        <f>+'Info recibida'!CO98/550</f>
        <v>0</v>
      </c>
      <c r="CP25" s="217">
        <f>+'Info recibida'!CP98/550</f>
        <v>0</v>
      </c>
      <c r="CQ25" s="213">
        <f>+'Info recibida'!CQ98/550</f>
        <v>37500</v>
      </c>
      <c r="CR25" s="70"/>
      <c r="CS25" s="71"/>
      <c r="CT25" s="71"/>
      <c r="CU25" s="210"/>
      <c r="CV25" s="210"/>
      <c r="CW25" s="210"/>
      <c r="CX25" s="210"/>
      <c r="CY25" s="221">
        <f>+'Info recibida'!CY98/550</f>
        <v>37500</v>
      </c>
      <c r="CZ25" s="222"/>
      <c r="DA25" s="514"/>
    </row>
    <row r="26" spans="2:105" ht="26.1" customHeight="1" x14ac:dyDescent="0.25">
      <c r="B26" s="532" t="s">
        <v>47</v>
      </c>
      <c r="C26" s="164" t="s">
        <v>355</v>
      </c>
      <c r="D26" s="74" t="s">
        <v>2</v>
      </c>
      <c r="E26" s="95" t="s">
        <v>403</v>
      </c>
      <c r="F26" s="75" t="s">
        <v>393</v>
      </c>
      <c r="G26" s="88" t="s">
        <v>102</v>
      </c>
      <c r="H26" s="49"/>
      <c r="I26" s="49" t="s">
        <v>230</v>
      </c>
      <c r="J26" s="206"/>
      <c r="K26" s="207"/>
      <c r="L26" s="208"/>
      <c r="N26" s="312" t="s">
        <v>47</v>
      </c>
      <c r="O26" s="313" t="s">
        <v>3</v>
      </c>
      <c r="P26" s="77" t="s">
        <v>403</v>
      </c>
      <c r="Q26" s="77"/>
      <c r="R26" s="77" t="s">
        <v>314</v>
      </c>
      <c r="S26" s="77" t="s">
        <v>314</v>
      </c>
      <c r="T26" s="77"/>
      <c r="U26" s="77" t="s">
        <v>314</v>
      </c>
      <c r="V26" s="77"/>
      <c r="W26" s="77" t="s">
        <v>307</v>
      </c>
      <c r="X26" s="77"/>
      <c r="Y26" s="77"/>
      <c r="Z26" s="77"/>
      <c r="AA26" s="77"/>
      <c r="AB26" s="77" t="s">
        <v>314</v>
      </c>
      <c r="AC26" s="77"/>
      <c r="AD26" s="77"/>
      <c r="AE26" s="314"/>
      <c r="AF26" s="313" t="s">
        <v>315</v>
      </c>
      <c r="AG26" s="315" t="s">
        <v>319</v>
      </c>
      <c r="AH26" s="316" t="s">
        <v>484</v>
      </c>
      <c r="AI26" s="77"/>
      <c r="AJ26" s="317">
        <v>0</v>
      </c>
      <c r="AK26" s="317">
        <v>0</v>
      </c>
      <c r="AL26" s="317">
        <v>0</v>
      </c>
      <c r="AM26" s="317">
        <v>0</v>
      </c>
      <c r="AN26" s="317">
        <v>0</v>
      </c>
      <c r="AO26" s="317">
        <v>0</v>
      </c>
      <c r="AP26" s="317">
        <v>0</v>
      </c>
      <c r="AQ26" s="317">
        <v>0</v>
      </c>
      <c r="AR26" s="317">
        <v>0</v>
      </c>
      <c r="AS26" s="317"/>
      <c r="AT26" s="317"/>
      <c r="AU26" s="317">
        <v>6</v>
      </c>
      <c r="AV26" s="317">
        <v>6</v>
      </c>
      <c r="AW26" s="317">
        <v>6</v>
      </c>
      <c r="AX26" s="317">
        <v>6</v>
      </c>
      <c r="AY26" s="317">
        <v>6</v>
      </c>
      <c r="AZ26" s="317">
        <v>6</v>
      </c>
      <c r="BA26" s="317">
        <v>6</v>
      </c>
      <c r="BB26" s="317">
        <v>6</v>
      </c>
      <c r="BC26" s="317">
        <v>6</v>
      </c>
      <c r="BD26" s="317"/>
      <c r="BE26" s="317"/>
      <c r="BF26" s="319" t="s">
        <v>4</v>
      </c>
      <c r="BG26" s="68" t="s">
        <v>312</v>
      </c>
      <c r="BH26" s="77" t="s">
        <v>323</v>
      </c>
      <c r="BI26" s="494">
        <f>+'Info recibida'!BJ51/550</f>
        <v>0</v>
      </c>
      <c r="BJ26" s="317">
        <f>+'Info recibida'!BK51/550</f>
        <v>0</v>
      </c>
      <c r="BK26" s="317">
        <f>+'Info recibida'!BL51/550</f>
        <v>0</v>
      </c>
      <c r="BL26" s="317">
        <f>+'Info recibida'!BM51/550</f>
        <v>0</v>
      </c>
      <c r="BM26" s="317">
        <f>+'Info recibida'!BN51/550</f>
        <v>0</v>
      </c>
      <c r="BN26" s="317">
        <f>+'Info recibida'!BO51/550</f>
        <v>0</v>
      </c>
      <c r="BO26" s="317">
        <f>+'Info recibida'!BP51/550</f>
        <v>0</v>
      </c>
      <c r="BP26" s="317">
        <f>+'Info recibida'!BQ51/550</f>
        <v>0</v>
      </c>
      <c r="BQ26" s="317">
        <f>+'Info recibida'!BR51/550</f>
        <v>0</v>
      </c>
      <c r="BR26" s="317">
        <f>+'Info recibida'!BS51/550</f>
        <v>0</v>
      </c>
      <c r="BS26" s="170">
        <f>+'Info recibida'!BT51/550</f>
        <v>0</v>
      </c>
      <c r="BT26" s="77"/>
      <c r="BU26" s="77"/>
      <c r="BV26" s="77"/>
      <c r="BW26" s="323"/>
      <c r="BX26" s="321">
        <f>+'Info recibida'!BY51/550</f>
        <v>3272.7272727272725</v>
      </c>
      <c r="BY26" s="317">
        <f>+'Info recibida'!BZ51/550</f>
        <v>3272.7272727272725</v>
      </c>
      <c r="BZ26" s="317">
        <f>+'Info recibida'!CA51/550</f>
        <v>3272.7272727272725</v>
      </c>
      <c r="CA26" s="317">
        <f>+'Info recibida'!CB51/550</f>
        <v>3272.7272727272725</v>
      </c>
      <c r="CB26" s="317">
        <f>+'Info recibida'!CC51/550</f>
        <v>3272.7272727272725</v>
      </c>
      <c r="CC26" s="317">
        <f>+'Info recibida'!CD51/550</f>
        <v>3272.7272727272725</v>
      </c>
      <c r="CD26" s="317">
        <f>+'Info recibida'!CE51/550</f>
        <v>3272.7272727272725</v>
      </c>
      <c r="CE26" s="317">
        <f>+'Info recibida'!CF51/550</f>
        <v>3272.7272727272725</v>
      </c>
      <c r="CF26" s="501">
        <f>+'Info recibida'!CG51/550</f>
        <v>3272.7272727272725</v>
      </c>
      <c r="CG26" s="213">
        <f t="shared" si="7"/>
        <v>29454.545454545452</v>
      </c>
      <c r="CH26" s="217">
        <f>+'Info recibida'!CH51/550</f>
        <v>3272.7272727272725</v>
      </c>
      <c r="CI26" s="170">
        <f>+'Info recibida'!CI51/550</f>
        <v>3272.7272727272725</v>
      </c>
      <c r="CJ26" s="170">
        <f>+'Info recibida'!CJ51/550</f>
        <v>3272.7272727272725</v>
      </c>
      <c r="CK26" s="170">
        <f>+'Info recibida'!CK51/550</f>
        <v>3272.7272727272725</v>
      </c>
      <c r="CL26" s="170">
        <f>+'Info recibida'!CL51/550</f>
        <v>3272.7272727272725</v>
      </c>
      <c r="CM26" s="170">
        <f>+'Info recibida'!CM51/550</f>
        <v>3272.7272727272725</v>
      </c>
      <c r="CN26" s="170">
        <f>+'Info recibida'!CN51/550</f>
        <v>3272.7272727272725</v>
      </c>
      <c r="CO26" s="170">
        <f>+'Info recibida'!CO51/550</f>
        <v>3272.7272727272725</v>
      </c>
      <c r="CP26" s="170">
        <f>+'Info recibida'!CP51/550</f>
        <v>3272.7272727272725</v>
      </c>
      <c r="CQ26" s="213">
        <f>+'Info recibida'!CQ51/550</f>
        <v>29454.545454545456</v>
      </c>
      <c r="CR26" s="72"/>
      <c r="CS26" s="73"/>
      <c r="CT26" s="73"/>
      <c r="CU26" s="315"/>
      <c r="CV26" s="315"/>
      <c r="CW26" s="315"/>
      <c r="CX26" s="315"/>
      <c r="CY26" s="221">
        <f>+'Info recibida'!CY51/550</f>
        <v>29454.545454545456</v>
      </c>
      <c r="CZ26" s="222"/>
      <c r="DA26" s="514"/>
    </row>
    <row r="27" spans="2:105" ht="26.1" customHeight="1" x14ac:dyDescent="0.25">
      <c r="B27" s="184" t="s">
        <v>73</v>
      </c>
      <c r="C27" s="185" t="s">
        <v>356</v>
      </c>
      <c r="D27" s="74" t="s">
        <v>2</v>
      </c>
      <c r="E27" s="75" t="s">
        <v>403</v>
      </c>
      <c r="F27" s="75" t="s">
        <v>393</v>
      </c>
      <c r="G27" s="88" t="s">
        <v>126</v>
      </c>
      <c r="H27" s="49"/>
      <c r="I27" s="49" t="s">
        <v>230</v>
      </c>
      <c r="J27" s="206"/>
      <c r="K27" s="207"/>
      <c r="L27" s="208"/>
      <c r="N27" s="204" t="s">
        <v>73</v>
      </c>
      <c r="O27" s="47" t="s">
        <v>3</v>
      </c>
      <c r="P27" s="48" t="s">
        <v>403</v>
      </c>
      <c r="Q27" s="48" t="s">
        <v>314</v>
      </c>
      <c r="R27" s="48" t="s">
        <v>314</v>
      </c>
      <c r="S27" s="48"/>
      <c r="T27" s="48" t="s">
        <v>307</v>
      </c>
      <c r="U27" s="48"/>
      <c r="V27" s="48"/>
      <c r="W27" s="48" t="s">
        <v>314</v>
      </c>
      <c r="X27" s="48"/>
      <c r="Y27" s="48"/>
      <c r="Z27" s="48"/>
      <c r="AA27" s="48"/>
      <c r="AB27" s="48"/>
      <c r="AC27" s="48"/>
      <c r="AD27" s="48" t="s">
        <v>314</v>
      </c>
      <c r="AE27" s="209"/>
      <c r="AF27" s="47" t="s">
        <v>315</v>
      </c>
      <c r="AG27" s="210" t="s">
        <v>319</v>
      </c>
      <c r="AH27" s="68" t="s">
        <v>341</v>
      </c>
      <c r="AI27" s="170"/>
      <c r="AJ27" s="170">
        <v>0</v>
      </c>
      <c r="AK27" s="170">
        <v>0</v>
      </c>
      <c r="AL27" s="170">
        <v>0</v>
      </c>
      <c r="AM27" s="170">
        <v>0</v>
      </c>
      <c r="AN27" s="170">
        <v>0</v>
      </c>
      <c r="AO27" s="170">
        <v>0</v>
      </c>
      <c r="AP27" s="170">
        <v>0</v>
      </c>
      <c r="AQ27" s="170">
        <v>0</v>
      </c>
      <c r="AR27" s="170">
        <v>0</v>
      </c>
      <c r="AS27" s="170"/>
      <c r="AT27" s="170"/>
      <c r="AU27" s="170">
        <v>6</v>
      </c>
      <c r="AV27" s="170">
        <v>6</v>
      </c>
      <c r="AW27" s="170">
        <v>6</v>
      </c>
      <c r="AX27" s="170">
        <v>6</v>
      </c>
      <c r="AY27" s="170">
        <v>6</v>
      </c>
      <c r="AZ27" s="170">
        <v>6</v>
      </c>
      <c r="BA27" s="170">
        <v>6</v>
      </c>
      <c r="BB27" s="170">
        <v>6</v>
      </c>
      <c r="BC27" s="170">
        <v>6</v>
      </c>
      <c r="BD27" s="170"/>
      <c r="BE27" s="170"/>
      <c r="BF27" s="206"/>
      <c r="BG27" s="68" t="s">
        <v>321</v>
      </c>
      <c r="BH27" s="48" t="s">
        <v>313</v>
      </c>
      <c r="BI27" s="211">
        <f>+'Info recibida'!BJ77/550</f>
        <v>0</v>
      </c>
      <c r="BJ27" s="170">
        <f>+'Info recibida'!BK77/550</f>
        <v>0</v>
      </c>
      <c r="BK27" s="217">
        <f>+'Info recibida'!BL77/550</f>
        <v>0</v>
      </c>
      <c r="BL27" s="217">
        <f>+'Info recibida'!BM77/550</f>
        <v>0</v>
      </c>
      <c r="BM27" s="217">
        <f>+'Info recibida'!BN77/550</f>
        <v>0</v>
      </c>
      <c r="BN27" s="217">
        <f>+'Info recibida'!BO77/550</f>
        <v>0</v>
      </c>
      <c r="BO27" s="217">
        <f>+'Info recibida'!BP77/550</f>
        <v>0</v>
      </c>
      <c r="BP27" s="217">
        <f>+'Info recibida'!BQ77/550</f>
        <v>0</v>
      </c>
      <c r="BQ27" s="217">
        <f>+'Info recibida'!BR77/550</f>
        <v>0</v>
      </c>
      <c r="BR27" s="217">
        <f>+'Info recibida'!BS77/550</f>
        <v>0</v>
      </c>
      <c r="BS27" s="170">
        <f>+'Info recibida'!BT77/550</f>
        <v>0</v>
      </c>
      <c r="BT27" s="48"/>
      <c r="BU27" s="48"/>
      <c r="BV27" s="48"/>
      <c r="BW27" s="243"/>
      <c r="BX27" s="212">
        <f>+'Info recibida'!BY77/550</f>
        <v>1000</v>
      </c>
      <c r="BY27" s="217">
        <f>+'Info recibida'!BZ77/550</f>
        <v>1000</v>
      </c>
      <c r="BZ27" s="217">
        <f>+'Info recibida'!CA77/550</f>
        <v>1000</v>
      </c>
      <c r="CA27" s="217">
        <f>+'Info recibida'!CB77/550</f>
        <v>1000</v>
      </c>
      <c r="CB27" s="217">
        <f>+'Info recibida'!CC77/550</f>
        <v>1000</v>
      </c>
      <c r="CC27" s="217">
        <f>+'Info recibida'!CD77/550</f>
        <v>1000</v>
      </c>
      <c r="CD27" s="217">
        <f>+'Info recibida'!CE77/550</f>
        <v>1000</v>
      </c>
      <c r="CE27" s="217">
        <f>+'Info recibida'!CF77/550</f>
        <v>1000</v>
      </c>
      <c r="CF27" s="218">
        <f>+'Info recibida'!CG77/550</f>
        <v>1000</v>
      </c>
      <c r="CG27" s="213">
        <f t="shared" si="7"/>
        <v>9000</v>
      </c>
      <c r="CH27" s="217">
        <f>+'Info recibida'!CH77/550</f>
        <v>1000</v>
      </c>
      <c r="CI27" s="170">
        <f>+'Info recibida'!CI77/550</f>
        <v>1000</v>
      </c>
      <c r="CJ27" s="170">
        <f>+'Info recibida'!CJ77/550</f>
        <v>1000</v>
      </c>
      <c r="CK27" s="170">
        <f>+'Info recibida'!CK77/550</f>
        <v>1000</v>
      </c>
      <c r="CL27" s="170">
        <f>+'Info recibida'!CL77/550</f>
        <v>1000</v>
      </c>
      <c r="CM27" s="170">
        <f>+'Info recibida'!CM77/550</f>
        <v>1000</v>
      </c>
      <c r="CN27" s="170">
        <f>+'Info recibida'!CN77/550</f>
        <v>1000</v>
      </c>
      <c r="CO27" s="170">
        <f>+'Info recibida'!CO77/550</f>
        <v>1000</v>
      </c>
      <c r="CP27" s="170">
        <f>+'Info recibida'!CP77/550</f>
        <v>1000</v>
      </c>
      <c r="CQ27" s="213">
        <f>+'Info recibida'!CQ77/550</f>
        <v>9000</v>
      </c>
      <c r="CR27" s="70"/>
      <c r="CS27" s="71"/>
      <c r="CT27" s="71"/>
      <c r="CU27" s="210"/>
      <c r="CV27" s="210"/>
      <c r="CW27" s="210"/>
      <c r="CX27" s="210"/>
      <c r="CY27" s="221">
        <f>+'Info recibida'!CY77/550</f>
        <v>9000</v>
      </c>
      <c r="CZ27" s="222"/>
      <c r="DA27" s="514"/>
    </row>
    <row r="28" spans="2:105" ht="26.1" customHeight="1" x14ac:dyDescent="0.25">
      <c r="B28" s="204" t="s">
        <v>90</v>
      </c>
      <c r="C28" s="205" t="s">
        <v>357</v>
      </c>
      <c r="D28" s="47" t="s">
        <v>2</v>
      </c>
      <c r="E28" s="48" t="s">
        <v>403</v>
      </c>
      <c r="F28" s="48" t="s">
        <v>393</v>
      </c>
      <c r="G28" s="48" t="s">
        <v>135</v>
      </c>
      <c r="H28" s="49"/>
      <c r="I28" s="49" t="s">
        <v>230</v>
      </c>
      <c r="J28" s="206"/>
      <c r="K28" s="207"/>
      <c r="L28" s="208"/>
      <c r="N28" s="204" t="s">
        <v>90</v>
      </c>
      <c r="O28" s="47" t="s">
        <v>81</v>
      </c>
      <c r="P28" s="48" t="s">
        <v>403</v>
      </c>
      <c r="Q28" s="48"/>
      <c r="R28" s="48" t="s">
        <v>314</v>
      </c>
      <c r="S28" s="48"/>
      <c r="T28" s="48" t="s">
        <v>307</v>
      </c>
      <c r="U28" s="48"/>
      <c r="V28" s="48"/>
      <c r="W28" s="48" t="s">
        <v>314</v>
      </c>
      <c r="X28" s="48"/>
      <c r="Y28" s="48"/>
      <c r="Z28" s="48" t="s">
        <v>314</v>
      </c>
      <c r="AA28" s="48" t="s">
        <v>314</v>
      </c>
      <c r="AB28" s="48"/>
      <c r="AC28" s="48"/>
      <c r="AD28" s="48" t="s">
        <v>314</v>
      </c>
      <c r="AE28" s="209"/>
      <c r="AF28" s="47" t="s">
        <v>315</v>
      </c>
      <c r="AG28" s="210" t="s">
        <v>319</v>
      </c>
      <c r="AH28" s="68" t="s">
        <v>348</v>
      </c>
      <c r="AI28" s="170"/>
      <c r="AJ28" s="170">
        <v>0</v>
      </c>
      <c r="AK28" s="170">
        <v>0</v>
      </c>
      <c r="AL28" s="170">
        <v>0</v>
      </c>
      <c r="AM28" s="170">
        <v>0</v>
      </c>
      <c r="AN28" s="170">
        <v>0</v>
      </c>
      <c r="AO28" s="170">
        <v>0</v>
      </c>
      <c r="AP28" s="170">
        <v>0</v>
      </c>
      <c r="AQ28" s="170">
        <v>0</v>
      </c>
      <c r="AR28" s="170">
        <v>0</v>
      </c>
      <c r="AS28" s="170"/>
      <c r="AT28" s="170"/>
      <c r="AU28" s="170">
        <v>0</v>
      </c>
      <c r="AV28" s="170">
        <v>1</v>
      </c>
      <c r="AW28" s="170">
        <v>0</v>
      </c>
      <c r="AX28" s="170">
        <v>1</v>
      </c>
      <c r="AY28" s="170">
        <v>0</v>
      </c>
      <c r="AZ28" s="170">
        <v>1</v>
      </c>
      <c r="BA28" s="170">
        <v>0</v>
      </c>
      <c r="BB28" s="170">
        <v>1</v>
      </c>
      <c r="BC28" s="170">
        <v>0</v>
      </c>
      <c r="BD28" s="170"/>
      <c r="BE28" s="170"/>
      <c r="BF28" s="206" t="s">
        <v>330</v>
      </c>
      <c r="BG28" s="68" t="s">
        <v>349</v>
      </c>
      <c r="BH28" s="48" t="s">
        <v>313</v>
      </c>
      <c r="BI28" s="211">
        <f>+'Info recibida'!BJ92/550</f>
        <v>0</v>
      </c>
      <c r="BJ28" s="170">
        <f>+'Info recibida'!BK92/550</f>
        <v>0</v>
      </c>
      <c r="BK28" s="170">
        <f>+'Info recibida'!BL92/550</f>
        <v>0</v>
      </c>
      <c r="BL28" s="170">
        <f>+'Info recibida'!BM92/550</f>
        <v>0</v>
      </c>
      <c r="BM28" s="170">
        <f>+'Info recibida'!BN92/550</f>
        <v>0</v>
      </c>
      <c r="BN28" s="170">
        <f>+'Info recibida'!BO92/550</f>
        <v>0</v>
      </c>
      <c r="BO28" s="170">
        <f>+'Info recibida'!BP92/550</f>
        <v>0</v>
      </c>
      <c r="BP28" s="170">
        <f>+'Info recibida'!BQ92/550</f>
        <v>0</v>
      </c>
      <c r="BQ28" s="170">
        <f>+'Info recibida'!BR92/550</f>
        <v>0</v>
      </c>
      <c r="BR28" s="170">
        <f>+'Info recibida'!BS92/550</f>
        <v>0</v>
      </c>
      <c r="BS28" s="170">
        <f>+'Info recibida'!BT92/550</f>
        <v>0</v>
      </c>
      <c r="BT28" s="48"/>
      <c r="BU28" s="48"/>
      <c r="BV28" s="48"/>
      <c r="BW28" s="243"/>
      <c r="BX28" s="212">
        <f>+'Info recibida'!BY92/550</f>
        <v>1000</v>
      </c>
      <c r="BY28" s="170">
        <f>+'Info recibida'!BZ92/550</f>
        <v>1000</v>
      </c>
      <c r="BZ28" s="170">
        <f>+'Info recibida'!CA92/550</f>
        <v>1000</v>
      </c>
      <c r="CA28" s="170">
        <f>+'Info recibida'!CB92/550</f>
        <v>1000</v>
      </c>
      <c r="CB28" s="170">
        <f>+'Info recibida'!CC92/550</f>
        <v>1000</v>
      </c>
      <c r="CC28" s="170">
        <f>+'Info recibida'!CD92/550</f>
        <v>1000</v>
      </c>
      <c r="CD28" s="170">
        <f>+'Info recibida'!CE92/550</f>
        <v>1000</v>
      </c>
      <c r="CE28" s="170">
        <f>+'Info recibida'!CF92/550</f>
        <v>1000</v>
      </c>
      <c r="CF28" s="218">
        <f>+'Info recibida'!CG92/550</f>
        <v>1000</v>
      </c>
      <c r="CG28" s="213">
        <f t="shared" si="7"/>
        <v>9000</v>
      </c>
      <c r="CH28" s="217">
        <f>+'Info recibida'!CH92/550</f>
        <v>1000</v>
      </c>
      <c r="CI28" s="217">
        <f>+'Info recibida'!CI92/550</f>
        <v>1000</v>
      </c>
      <c r="CJ28" s="217">
        <f>+'Info recibida'!CJ92/550</f>
        <v>1000</v>
      </c>
      <c r="CK28" s="217">
        <f>+'Info recibida'!CK92/550</f>
        <v>1000</v>
      </c>
      <c r="CL28" s="217">
        <f>+'Info recibida'!CL92/550</f>
        <v>1000</v>
      </c>
      <c r="CM28" s="217">
        <f>+'Info recibida'!CM92/550</f>
        <v>1000</v>
      </c>
      <c r="CN28" s="217">
        <f>+'Info recibida'!CN92/550</f>
        <v>1000</v>
      </c>
      <c r="CO28" s="217">
        <f>+'Info recibida'!CO92/550</f>
        <v>1000</v>
      </c>
      <c r="CP28" s="217">
        <f>+'Info recibida'!CP92/550</f>
        <v>1000</v>
      </c>
      <c r="CQ28" s="213">
        <f>+'Info recibida'!CQ92/550</f>
        <v>9000</v>
      </c>
      <c r="CR28" s="70"/>
      <c r="CS28" s="71"/>
      <c r="CT28" s="71"/>
      <c r="CU28" s="210"/>
      <c r="CV28" s="210"/>
      <c r="CW28" s="210"/>
      <c r="CX28" s="210"/>
      <c r="CY28" s="221">
        <f>+'Info recibida'!CY92/550</f>
        <v>9000</v>
      </c>
      <c r="CZ28" s="222"/>
      <c r="DA28" s="514"/>
    </row>
    <row r="29" spans="2:105" ht="26.1" customHeight="1" x14ac:dyDescent="0.25">
      <c r="B29" s="312" t="s">
        <v>57</v>
      </c>
      <c r="C29" s="205" t="s">
        <v>357</v>
      </c>
      <c r="D29" s="47" t="s">
        <v>2</v>
      </c>
      <c r="E29" s="77" t="s">
        <v>403</v>
      </c>
      <c r="F29" s="77" t="s">
        <v>393</v>
      </c>
      <c r="G29" s="48" t="s">
        <v>118</v>
      </c>
      <c r="H29" s="49" t="s">
        <v>246</v>
      </c>
      <c r="I29" s="49" t="s">
        <v>230</v>
      </c>
      <c r="J29" s="206"/>
      <c r="K29" s="207"/>
      <c r="L29" s="208"/>
      <c r="N29" s="312" t="s">
        <v>57</v>
      </c>
      <c r="O29" s="313" t="s">
        <v>3</v>
      </c>
      <c r="P29" s="77" t="s">
        <v>400</v>
      </c>
      <c r="Q29" s="48"/>
      <c r="R29" s="48" t="s">
        <v>307</v>
      </c>
      <c r="S29" s="48"/>
      <c r="T29" s="48"/>
      <c r="U29" s="48" t="s">
        <v>314</v>
      </c>
      <c r="V29" s="48"/>
      <c r="W29" s="48" t="s">
        <v>314</v>
      </c>
      <c r="X29" s="48"/>
      <c r="Y29" s="48"/>
      <c r="Z29" s="48"/>
      <c r="AA29" s="48"/>
      <c r="AB29" s="48" t="s">
        <v>314</v>
      </c>
      <c r="AC29" s="48"/>
      <c r="AD29" s="48"/>
      <c r="AE29" s="94"/>
      <c r="AF29" s="47" t="s">
        <v>315</v>
      </c>
      <c r="AG29" s="210" t="s">
        <v>316</v>
      </c>
      <c r="AH29" s="316" t="s">
        <v>481</v>
      </c>
      <c r="AI29" s="317"/>
      <c r="AJ29" s="317">
        <v>0</v>
      </c>
      <c r="AK29" s="317">
        <v>0</v>
      </c>
      <c r="AL29" s="317">
        <v>0</v>
      </c>
      <c r="AM29" s="317">
        <v>0</v>
      </c>
      <c r="AN29" s="317">
        <v>0</v>
      </c>
      <c r="AO29" s="317">
        <v>0</v>
      </c>
      <c r="AP29" s="317">
        <v>0</v>
      </c>
      <c r="AQ29" s="317">
        <v>0</v>
      </c>
      <c r="AR29" s="317">
        <v>0</v>
      </c>
      <c r="AS29" s="317"/>
      <c r="AT29" s="317"/>
      <c r="AU29" s="317">
        <v>1</v>
      </c>
      <c r="AV29" s="317">
        <v>0</v>
      </c>
      <c r="AW29" s="317">
        <v>0</v>
      </c>
      <c r="AX29" s="317">
        <v>0</v>
      </c>
      <c r="AY29" s="317">
        <v>0</v>
      </c>
      <c r="AZ29" s="317">
        <v>0</v>
      </c>
      <c r="BA29" s="317">
        <v>0</v>
      </c>
      <c r="BB29" s="317">
        <v>0</v>
      </c>
      <c r="BC29" s="317">
        <v>0</v>
      </c>
      <c r="BD29" s="317"/>
      <c r="BE29" s="318"/>
      <c r="BF29" s="319" t="s">
        <v>318</v>
      </c>
      <c r="BG29" s="68" t="s">
        <v>349</v>
      </c>
      <c r="BH29" s="77" t="s">
        <v>313</v>
      </c>
      <c r="BI29" s="494">
        <f>+'Info recibida'!BJ62/550</f>
        <v>0</v>
      </c>
      <c r="BJ29" s="317">
        <f>+'Info recibida'!BK62/550</f>
        <v>0</v>
      </c>
      <c r="BK29" s="317">
        <f>+'Info recibida'!BL62/550</f>
        <v>0</v>
      </c>
      <c r="BL29" s="317">
        <f>+'Info recibida'!BM62/550</f>
        <v>0</v>
      </c>
      <c r="BM29" s="317">
        <f>+'Info recibida'!BN62/550</f>
        <v>0</v>
      </c>
      <c r="BN29" s="317">
        <f>+'Info recibida'!BO62/550</f>
        <v>0</v>
      </c>
      <c r="BO29" s="317">
        <f>+'Info recibida'!BP62/550</f>
        <v>0</v>
      </c>
      <c r="BP29" s="317">
        <f>+'Info recibida'!BQ62/550</f>
        <v>0</v>
      </c>
      <c r="BQ29" s="317">
        <f>+'Info recibida'!BR62/550</f>
        <v>0</v>
      </c>
      <c r="BR29" s="317">
        <f>+'Info recibida'!BS62/550</f>
        <v>0</v>
      </c>
      <c r="BS29" s="317">
        <f>+'Info recibida'!BT62/550</f>
        <v>0</v>
      </c>
      <c r="BT29" s="77"/>
      <c r="BU29" s="77"/>
      <c r="BV29" s="77"/>
      <c r="BW29" s="323"/>
      <c r="BX29" s="321">
        <f>+'Info recibida'!BY62/550</f>
        <v>6000</v>
      </c>
      <c r="BY29" s="317">
        <f>+'Info recibida'!BZ62/550</f>
        <v>0</v>
      </c>
      <c r="BZ29" s="317">
        <f>+'Info recibida'!CA62/550</f>
        <v>0</v>
      </c>
      <c r="CA29" s="317">
        <f>+'Info recibida'!CB62/550</f>
        <v>0</v>
      </c>
      <c r="CB29" s="317">
        <f>+'Info recibida'!CC62/550</f>
        <v>0</v>
      </c>
      <c r="CC29" s="317">
        <f>+'Info recibida'!CD62/550</f>
        <v>0</v>
      </c>
      <c r="CD29" s="317">
        <f>+'Info recibida'!CE62/550</f>
        <v>0</v>
      </c>
      <c r="CE29" s="317">
        <f>+'Info recibida'!CF62/550</f>
        <v>0</v>
      </c>
      <c r="CF29" s="501">
        <f>+'Info recibida'!CG62/550</f>
        <v>0</v>
      </c>
      <c r="CG29" s="324">
        <f t="shared" si="7"/>
        <v>6000</v>
      </c>
      <c r="CH29" s="212">
        <f>+'Info recibida'!CH62/550</f>
        <v>6000</v>
      </c>
      <c r="CI29" s="170">
        <f>+'Info recibida'!CI62/550</f>
        <v>0</v>
      </c>
      <c r="CJ29" s="170">
        <f>+'Info recibida'!CJ62/550</f>
        <v>0</v>
      </c>
      <c r="CK29" s="170">
        <f>+'Info recibida'!CK62/550</f>
        <v>0</v>
      </c>
      <c r="CL29" s="170">
        <f>+'Info recibida'!CL62/550</f>
        <v>0</v>
      </c>
      <c r="CM29" s="170">
        <f>+'Info recibida'!CM62/550</f>
        <v>0</v>
      </c>
      <c r="CN29" s="170">
        <f>+'Info recibida'!CN62/550</f>
        <v>0</v>
      </c>
      <c r="CO29" s="170">
        <f>+'Info recibida'!CO62/550</f>
        <v>0</v>
      </c>
      <c r="CP29" s="170">
        <f>+'Info recibida'!CP62/550</f>
        <v>0</v>
      </c>
      <c r="CQ29" s="213">
        <f>+'Info recibida'!CQ62/550</f>
        <v>6000</v>
      </c>
      <c r="CR29" s="72"/>
      <c r="CS29" s="326">
        <v>6000</v>
      </c>
      <c r="CT29" s="73"/>
      <c r="CU29" s="315"/>
      <c r="CV29" s="315"/>
      <c r="CW29" s="315"/>
      <c r="CX29" s="315"/>
      <c r="CY29" s="221">
        <f>+'Info recibida'!CY62/550</f>
        <v>0</v>
      </c>
      <c r="CZ29" s="333"/>
      <c r="DA29" s="514"/>
    </row>
    <row r="30" spans="2:105" ht="26.1" customHeight="1" x14ac:dyDescent="0.25">
      <c r="B30" s="204" t="s">
        <v>30</v>
      </c>
      <c r="C30" s="205" t="s">
        <v>357</v>
      </c>
      <c r="D30" s="47" t="s">
        <v>4</v>
      </c>
      <c r="E30" s="48" t="s">
        <v>407</v>
      </c>
      <c r="F30" s="48" t="s">
        <v>395</v>
      </c>
      <c r="G30" s="50" t="s">
        <v>108</v>
      </c>
      <c r="H30" s="49"/>
      <c r="I30" s="49" t="s">
        <v>229</v>
      </c>
      <c r="J30" s="206"/>
      <c r="K30" s="207"/>
      <c r="L30" s="208"/>
      <c r="N30" s="204" t="s">
        <v>365</v>
      </c>
      <c r="O30" s="47" t="s">
        <v>4</v>
      </c>
      <c r="P30" s="48" t="s">
        <v>407</v>
      </c>
      <c r="Q30" s="50" t="s">
        <v>314</v>
      </c>
      <c r="R30" s="48" t="s">
        <v>314</v>
      </c>
      <c r="S30" s="48" t="s">
        <v>314</v>
      </c>
      <c r="T30" s="48" t="s">
        <v>314</v>
      </c>
      <c r="U30" s="48" t="s">
        <v>314</v>
      </c>
      <c r="V30" s="50"/>
      <c r="W30" s="50" t="s">
        <v>307</v>
      </c>
      <c r="X30" s="50"/>
      <c r="Y30" s="50"/>
      <c r="Z30" s="50"/>
      <c r="AA30" s="50"/>
      <c r="AB30" s="50"/>
      <c r="AC30" s="50"/>
      <c r="AD30" s="50"/>
      <c r="AE30" s="259"/>
      <c r="AF30" s="47" t="s">
        <v>362</v>
      </c>
      <c r="AG30" s="210" t="s">
        <v>319</v>
      </c>
      <c r="AH30" s="68" t="s">
        <v>371</v>
      </c>
      <c r="AI30" s="48">
        <v>30</v>
      </c>
      <c r="AJ30" s="48">
        <v>25</v>
      </c>
      <c r="AK30" s="48">
        <v>25</v>
      </c>
      <c r="AL30" s="48">
        <v>25</v>
      </c>
      <c r="AM30" s="48">
        <v>25</v>
      </c>
      <c r="AN30" s="48">
        <v>25</v>
      </c>
      <c r="AO30" s="48">
        <v>25</v>
      </c>
      <c r="AP30" s="48">
        <v>25</v>
      </c>
      <c r="AQ30" s="48">
        <v>25</v>
      </c>
      <c r="AR30" s="48">
        <v>25</v>
      </c>
      <c r="AS30" s="48">
        <v>25</v>
      </c>
      <c r="AT30" s="48">
        <v>25</v>
      </c>
      <c r="AU30" s="48">
        <v>25</v>
      </c>
      <c r="AV30" s="48">
        <v>23</v>
      </c>
      <c r="AW30" s="48">
        <v>21</v>
      </c>
      <c r="AX30" s="48">
        <v>20</v>
      </c>
      <c r="AY30" s="48">
        <v>18</v>
      </c>
      <c r="AZ30" s="48">
        <v>17</v>
      </c>
      <c r="BA30" s="48">
        <v>15</v>
      </c>
      <c r="BB30" s="48">
        <v>15</v>
      </c>
      <c r="BC30" s="48">
        <v>15</v>
      </c>
      <c r="BD30" s="48">
        <v>15</v>
      </c>
      <c r="BE30" s="94">
        <v>15</v>
      </c>
      <c r="BF30" s="206" t="s">
        <v>330</v>
      </c>
      <c r="BG30" s="68" t="s">
        <v>349</v>
      </c>
      <c r="BH30" s="48" t="s">
        <v>323</v>
      </c>
      <c r="BI30" s="252">
        <f>+'Info recibida'!BJ33/550</f>
        <v>4278218.4101818176</v>
      </c>
      <c r="BJ30" s="170">
        <f>+'Info recibida'!BK33/550</f>
        <v>5347773.0127272727</v>
      </c>
      <c r="BK30" s="170">
        <f>+'Info recibida'!BL33/550</f>
        <v>5587120.5724545456</v>
      </c>
      <c r="BL30" s="170">
        <f>+'Info recibida'!BM33/550</f>
        <v>5867012.3465318177</v>
      </c>
      <c r="BM30" s="170">
        <f>+'Info recibida'!BN33/550</f>
        <v>6160839.1820402266</v>
      </c>
      <c r="BN30" s="170">
        <f>+'Info recibida'!BO33/550</f>
        <v>6469297.8320513293</v>
      </c>
      <c r="BO30" s="170">
        <f>+'Info recibida'!BP33/550</f>
        <v>6827210.7963811681</v>
      </c>
      <c r="BP30" s="170">
        <f>+'Info recibida'!BQ33/550</f>
        <v>7133073.5180184087</v>
      </c>
      <c r="BQ30" s="170">
        <f>+'Info recibida'!BR33/550</f>
        <v>7489965.3030102383</v>
      </c>
      <c r="BR30" s="170">
        <f>+'Info recibida'!BS33/550</f>
        <v>7864642.1499789329</v>
      </c>
      <c r="BS30" s="170">
        <f>+'Info recibida'!BT33/550</f>
        <v>58746934.713193946</v>
      </c>
      <c r="BT30" s="277">
        <v>0.9</v>
      </c>
      <c r="BU30" s="170"/>
      <c r="BV30" s="277">
        <v>0.1</v>
      </c>
      <c r="BW30" s="213"/>
      <c r="BX30" s="212">
        <f>+'Info recibida'!BY33/550</f>
        <v>5893459.4049090901</v>
      </c>
      <c r="BY30" s="170">
        <f>+'Info recibida'!BZ33/550</f>
        <v>6439114.9453999996</v>
      </c>
      <c r="BZ30" s="170">
        <f>+'Info recibida'!CA33/550</f>
        <v>7084312.229030909</v>
      </c>
      <c r="CA30" s="170">
        <f>+'Info recibida'!CB33/550</f>
        <v>7793981.6192067275</v>
      </c>
      <c r="CB30" s="170">
        <f>+'Info recibida'!CC33/550</f>
        <v>8574546.5156728551</v>
      </c>
      <c r="CC30" s="170">
        <f>+'Info recibida'!CD33/550</f>
        <v>9484209.0217855964</v>
      </c>
      <c r="CD30" s="170">
        <f>+'Info recibida'!CE33/550</f>
        <v>10377332.360327791</v>
      </c>
      <c r="CE30" s="170">
        <f>+'Info recibida'!CF33/550</f>
        <v>11415875.167269662</v>
      </c>
      <c r="CF30" s="218">
        <f>+'Info recibida'!CG33/550</f>
        <v>12558105.578542082</v>
      </c>
      <c r="CG30" s="213">
        <f t="shared" si="7"/>
        <v>79620936.842144713</v>
      </c>
      <c r="CH30" s="217">
        <f>+'Info recibida'!CH33/550</f>
        <v>545686.39218181779</v>
      </c>
      <c r="CI30" s="170">
        <f>+'Info recibida'!CI33/550</f>
        <v>851994.37294545432</v>
      </c>
      <c r="CJ30" s="170">
        <f>+'Info recibida'!CJ33/550</f>
        <v>1217299.8824990913</v>
      </c>
      <c r="CK30" s="170">
        <f>+'Info recibida'!CK33/550</f>
        <v>1633142.4371665011</v>
      </c>
      <c r="CL30" s="170">
        <f>+'Info recibida'!CL33/550</f>
        <v>2105248.6836215262</v>
      </c>
      <c r="CM30" s="170">
        <f>+'Info recibida'!CM33/550</f>
        <v>2656998.2254044274</v>
      </c>
      <c r="CN30" s="170">
        <f>+'Info recibida'!CN33/550</f>
        <v>3244258.8423093832</v>
      </c>
      <c r="CO30" s="170">
        <f>+'Info recibida'!CO33/550</f>
        <v>3925909.8642594232</v>
      </c>
      <c r="CP30" s="170">
        <f>+'Info recibida'!CP33/550</f>
        <v>4693463.4285631496</v>
      </c>
      <c r="CQ30" s="213">
        <f>+'Info recibida'!CQ33/550</f>
        <v>20874002.128950771</v>
      </c>
      <c r="CR30" s="219"/>
      <c r="CS30" s="220">
        <v>15000</v>
      </c>
      <c r="CT30" s="220" t="s">
        <v>363</v>
      </c>
      <c r="CU30" s="210"/>
      <c r="CV30" s="210"/>
      <c r="CW30" s="210"/>
      <c r="CX30" s="210"/>
      <c r="CY30" s="221">
        <f>+'Info recibida'!CY33/550</f>
        <v>20859002.128950771</v>
      </c>
      <c r="CZ30" s="222"/>
      <c r="DA30" s="514"/>
    </row>
    <row r="31" spans="2:105" ht="26.1" customHeight="1" x14ac:dyDescent="0.25">
      <c r="B31" s="204" t="s">
        <v>59</v>
      </c>
      <c r="C31" s="205" t="s">
        <v>355</v>
      </c>
      <c r="D31" s="47" t="s">
        <v>4</v>
      </c>
      <c r="E31" s="50" t="s">
        <v>405</v>
      </c>
      <c r="F31" s="48" t="s">
        <v>397</v>
      </c>
      <c r="G31" s="48" t="s">
        <v>116</v>
      </c>
      <c r="H31" s="49"/>
      <c r="I31" s="49" t="s">
        <v>230</v>
      </c>
      <c r="J31" s="206"/>
      <c r="K31" s="207"/>
      <c r="L31" s="208"/>
      <c r="N31" s="204" t="s">
        <v>59</v>
      </c>
      <c r="O31" s="47" t="s">
        <v>3</v>
      </c>
      <c r="P31" s="48" t="s">
        <v>456</v>
      </c>
      <c r="Q31" s="48" t="s">
        <v>314</v>
      </c>
      <c r="R31" s="48"/>
      <c r="S31" s="48" t="s">
        <v>314</v>
      </c>
      <c r="T31" s="48" t="s">
        <v>314</v>
      </c>
      <c r="U31" s="48"/>
      <c r="V31" s="48"/>
      <c r="W31" s="48" t="s">
        <v>307</v>
      </c>
      <c r="X31" s="48"/>
      <c r="Y31" s="48"/>
      <c r="Z31" s="48"/>
      <c r="AA31" s="48"/>
      <c r="AB31" s="48" t="s">
        <v>314</v>
      </c>
      <c r="AC31" s="48"/>
      <c r="AD31" s="48"/>
      <c r="AE31" s="209"/>
      <c r="AF31" s="47" t="s">
        <v>315</v>
      </c>
      <c r="AG31" s="210" t="s">
        <v>319</v>
      </c>
      <c r="AH31" s="101" t="s">
        <v>457</v>
      </c>
      <c r="AI31" s="170">
        <v>3500</v>
      </c>
      <c r="AJ31" s="170">
        <v>3500</v>
      </c>
      <c r="AK31" s="170">
        <v>3500</v>
      </c>
      <c r="AL31" s="170">
        <v>3500</v>
      </c>
      <c r="AM31" s="170">
        <v>3500</v>
      </c>
      <c r="AN31" s="170">
        <v>3500</v>
      </c>
      <c r="AO31" s="170">
        <v>3500</v>
      </c>
      <c r="AP31" s="170">
        <v>3500</v>
      </c>
      <c r="AQ31" s="170">
        <v>3500</v>
      </c>
      <c r="AR31" s="170">
        <v>3500</v>
      </c>
      <c r="AS31" s="170"/>
      <c r="AT31" s="170"/>
      <c r="AU31" s="170">
        <v>7000</v>
      </c>
      <c r="AV31" s="170">
        <v>7000</v>
      </c>
      <c r="AW31" s="170">
        <v>7000</v>
      </c>
      <c r="AX31" s="170">
        <v>7000</v>
      </c>
      <c r="AY31" s="170">
        <v>7000</v>
      </c>
      <c r="AZ31" s="170">
        <v>7000</v>
      </c>
      <c r="BA31" s="170">
        <v>7000</v>
      </c>
      <c r="BB31" s="170">
        <v>7000</v>
      </c>
      <c r="BC31" s="170">
        <v>7000</v>
      </c>
      <c r="BD31" s="170"/>
      <c r="BE31" s="170"/>
      <c r="BF31" s="206"/>
      <c r="BG31" s="257" t="s">
        <v>312</v>
      </c>
      <c r="BH31" s="48"/>
      <c r="BI31" s="211">
        <f>+'Info recibida'!BJ58/550</f>
        <v>0</v>
      </c>
      <c r="BJ31" s="170">
        <f>+'Info recibida'!BK58/550</f>
        <v>887946.25781882997</v>
      </c>
      <c r="BK31" s="170">
        <f>+'Info recibida'!BL58/550</f>
        <v>887946.25781882997</v>
      </c>
      <c r="BL31" s="170">
        <f>+'Info recibida'!BM58/550</f>
        <v>887946.25781882997</v>
      </c>
      <c r="BM31" s="170">
        <f>+'Info recibida'!BN58/550</f>
        <v>887946.25781882997</v>
      </c>
      <c r="BN31" s="170">
        <f>+'Info recibida'!BO58/550</f>
        <v>887946.25781882997</v>
      </c>
      <c r="BO31" s="170">
        <f>+'Info recibida'!BP58/550</f>
        <v>887946.25781882997</v>
      </c>
      <c r="BP31" s="170">
        <f>+'Info recibida'!BQ58/550</f>
        <v>887946.25781882997</v>
      </c>
      <c r="BQ31" s="170">
        <f>+'Info recibida'!BR58/550</f>
        <v>887946.25781882997</v>
      </c>
      <c r="BR31" s="170">
        <f>+'Info recibida'!BS58/550</f>
        <v>887946.25781882997</v>
      </c>
      <c r="BS31" s="170">
        <f>+'Info recibida'!BT58/550</f>
        <v>7991516.320369469</v>
      </c>
      <c r="BT31" s="215">
        <v>0.95</v>
      </c>
      <c r="BU31" s="48"/>
      <c r="BV31" s="215">
        <v>0.05</v>
      </c>
      <c r="BW31" s="243"/>
      <c r="BX31" s="212">
        <f>+'Info recibida'!BY58/550</f>
        <v>1775892.5156376599</v>
      </c>
      <c r="BY31" s="170">
        <f>+'Info recibida'!BZ58/550</f>
        <v>1775892.5156376599</v>
      </c>
      <c r="BZ31" s="170">
        <f>+'Info recibida'!CA58/550</f>
        <v>1775892.5156376599</v>
      </c>
      <c r="CA31" s="170">
        <f>+'Info recibida'!CB58/550</f>
        <v>1775892.5156376599</v>
      </c>
      <c r="CB31" s="170">
        <f>+'Info recibida'!CC58/550</f>
        <v>1775892.5156376599</v>
      </c>
      <c r="CC31" s="170">
        <f>+'Info recibida'!CD58/550</f>
        <v>1775892.5156376599</v>
      </c>
      <c r="CD31" s="170">
        <f>+'Info recibida'!CE58/550</f>
        <v>1775892.5156376599</v>
      </c>
      <c r="CE31" s="170">
        <f>+'Info recibida'!CF58/550</f>
        <v>1775892.5156376599</v>
      </c>
      <c r="CF31" s="218">
        <f>+'Info recibida'!CG58/550</f>
        <v>1775892.5156376599</v>
      </c>
      <c r="CG31" s="213">
        <f t="shared" si="7"/>
        <v>15983032.640738942</v>
      </c>
      <c r="CH31" s="217">
        <f>+'Info recibida'!CH58/550</f>
        <v>887946.25781882997</v>
      </c>
      <c r="CI31" s="217">
        <f>+'Info recibida'!CI58/550</f>
        <v>887946.25781882997</v>
      </c>
      <c r="CJ31" s="217">
        <f>+'Info recibida'!CJ58/550</f>
        <v>887946.25781882997</v>
      </c>
      <c r="CK31" s="217">
        <f>+'Info recibida'!CK58/550</f>
        <v>887946.25781882997</v>
      </c>
      <c r="CL31" s="217">
        <f>+'Info recibida'!CL58/550</f>
        <v>887946.25781882997</v>
      </c>
      <c r="CM31" s="217">
        <f>+'Info recibida'!CM58/550</f>
        <v>887946.25781882997</v>
      </c>
      <c r="CN31" s="217">
        <f>+'Info recibida'!CN58/550</f>
        <v>887946.25781882997</v>
      </c>
      <c r="CO31" s="217">
        <f>+'Info recibida'!CO58/550</f>
        <v>887946.25781882997</v>
      </c>
      <c r="CP31" s="217">
        <f>+'Info recibida'!CP58/550</f>
        <v>887946.25781882997</v>
      </c>
      <c r="CQ31" s="213">
        <f>+'Info recibida'!CQ58/550</f>
        <v>7991516.320369469</v>
      </c>
      <c r="CR31" s="70"/>
      <c r="CS31" s="71"/>
      <c r="CT31" s="71"/>
      <c r="CU31" s="210"/>
      <c r="CV31" s="210"/>
      <c r="CW31" s="210"/>
      <c r="CX31" s="210"/>
      <c r="CY31" s="221">
        <f>+'Info recibida'!CY58/550</f>
        <v>7991516.320369469</v>
      </c>
      <c r="CZ31" s="327"/>
      <c r="DA31" s="514"/>
    </row>
    <row r="32" spans="2:105" ht="26.1" customHeight="1" x14ac:dyDescent="0.25">
      <c r="B32" s="312"/>
      <c r="C32" s="205"/>
      <c r="D32" s="47" t="s">
        <v>4</v>
      </c>
      <c r="E32" s="50" t="s">
        <v>405</v>
      </c>
      <c r="F32" s="48" t="s">
        <v>397</v>
      </c>
      <c r="G32" s="48" t="s">
        <v>104</v>
      </c>
      <c r="H32" s="49"/>
      <c r="I32" s="49"/>
      <c r="J32" s="206"/>
      <c r="K32" s="207"/>
      <c r="L32" s="208"/>
      <c r="N32" s="204" t="s">
        <v>442</v>
      </c>
      <c r="O32" s="47" t="s">
        <v>4</v>
      </c>
      <c r="P32" s="48" t="s">
        <v>407</v>
      </c>
      <c r="Q32" s="48" t="s">
        <v>314</v>
      </c>
      <c r="R32" s="48" t="s">
        <v>314</v>
      </c>
      <c r="S32" s="48" t="s">
        <v>314</v>
      </c>
      <c r="T32" s="48" t="s">
        <v>314</v>
      </c>
      <c r="U32" s="48" t="s">
        <v>314</v>
      </c>
      <c r="V32" s="48"/>
      <c r="W32" s="48" t="s">
        <v>307</v>
      </c>
      <c r="X32" s="48"/>
      <c r="Y32" s="48"/>
      <c r="Z32" s="48"/>
      <c r="AA32" s="48"/>
      <c r="AB32" s="48" t="s">
        <v>314</v>
      </c>
      <c r="AC32" s="48"/>
      <c r="AD32" s="48"/>
      <c r="AE32" s="209"/>
      <c r="AF32" s="47" t="s">
        <v>315</v>
      </c>
      <c r="AG32" s="210" t="s">
        <v>319</v>
      </c>
      <c r="AH32" s="97" t="s">
        <v>440</v>
      </c>
      <c r="AI32" s="251">
        <f>558271/123755</f>
        <v>4.5110985414730722</v>
      </c>
      <c r="AJ32" s="251">
        <v>4.5</v>
      </c>
      <c r="AK32" s="251">
        <v>4.5</v>
      </c>
      <c r="AL32" s="251">
        <v>4.5</v>
      </c>
      <c r="AM32" s="251">
        <v>4.5</v>
      </c>
      <c r="AN32" s="251">
        <v>4.5</v>
      </c>
      <c r="AO32" s="251">
        <v>4.5</v>
      </c>
      <c r="AP32" s="251">
        <v>4.5</v>
      </c>
      <c r="AQ32" s="251">
        <v>4.5</v>
      </c>
      <c r="AR32" s="251">
        <v>4.5</v>
      </c>
      <c r="AS32" s="251"/>
      <c r="AT32" s="251"/>
      <c r="AU32" s="251">
        <v>4.5</v>
      </c>
      <c r="AV32" s="251">
        <f t="shared" ref="AV32:BC32" si="8">+AU32-0.1</f>
        <v>4.4000000000000004</v>
      </c>
      <c r="AW32" s="251">
        <f t="shared" si="8"/>
        <v>4.3000000000000007</v>
      </c>
      <c r="AX32" s="251">
        <f t="shared" si="8"/>
        <v>4.2000000000000011</v>
      </c>
      <c r="AY32" s="251">
        <f t="shared" si="8"/>
        <v>4.1000000000000014</v>
      </c>
      <c r="AZ32" s="251">
        <f t="shared" si="8"/>
        <v>4.0000000000000018</v>
      </c>
      <c r="BA32" s="251">
        <f t="shared" si="8"/>
        <v>3.9000000000000017</v>
      </c>
      <c r="BB32" s="251">
        <f t="shared" si="8"/>
        <v>3.8000000000000016</v>
      </c>
      <c r="BC32" s="251">
        <f t="shared" si="8"/>
        <v>3.7000000000000015</v>
      </c>
      <c r="BD32" s="251"/>
      <c r="BE32" s="251"/>
      <c r="BF32" s="206"/>
      <c r="BG32" s="68" t="s">
        <v>349</v>
      </c>
      <c r="BH32" s="48"/>
      <c r="BI32" s="252">
        <f>+'Info recibida'!BJ18/550</f>
        <v>1566780</v>
      </c>
      <c r="BJ32" s="170">
        <f>+'Info recibida'!BK18/550</f>
        <v>1645119</v>
      </c>
      <c r="BK32" s="217">
        <f>+'Info recibida'!BL18/550</f>
        <v>1727374.95</v>
      </c>
      <c r="BL32" s="217">
        <f>+'Info recibida'!BM18/550</f>
        <v>1813743.6975</v>
      </c>
      <c r="BM32" s="217">
        <f>+'Info recibida'!BN18/550</f>
        <v>1904430.8823750003</v>
      </c>
      <c r="BN32" s="217">
        <f>+'Info recibida'!BO18/550</f>
        <v>1999652.42649375</v>
      </c>
      <c r="BO32" s="217">
        <f>+'Info recibida'!BP18/550</f>
        <v>2099635.0478184377</v>
      </c>
      <c r="BP32" s="217">
        <f>+'Info recibida'!BQ18/550</f>
        <v>2204616.8002093593</v>
      </c>
      <c r="BQ32" s="217">
        <f>+'Info recibida'!BR18/550</f>
        <v>2314847.6402198272</v>
      </c>
      <c r="BR32" s="217">
        <f>+'Info recibida'!BS18/550</f>
        <v>2430590.0222308184</v>
      </c>
      <c r="BS32" s="170">
        <f>+'Info recibida'!BT18/550</f>
        <v>18140010.466847192</v>
      </c>
      <c r="BT32" s="215">
        <v>1</v>
      </c>
      <c r="BU32" s="48"/>
      <c r="BV32" s="48"/>
      <c r="BW32" s="243"/>
      <c r="BX32" s="212">
        <f>+'Info recibida'!BY18/550</f>
        <v>2352024</v>
      </c>
      <c r="BY32" s="217">
        <f>+'Info recibida'!BZ18/550</f>
        <v>2469625.2000000002</v>
      </c>
      <c r="BZ32" s="217">
        <f>+'Info recibida'!CA18/550</f>
        <v>2593106.46</v>
      </c>
      <c r="CA32" s="217">
        <f>+'Info recibida'!CB18/550</f>
        <v>2722761.7830000003</v>
      </c>
      <c r="CB32" s="217">
        <f>+'Info recibida'!CC18/550</f>
        <v>2858899.8721500002</v>
      </c>
      <c r="CC32" s="217">
        <f>+'Info recibida'!CD18/550</f>
        <v>3001844.8657575003</v>
      </c>
      <c r="CD32" s="217">
        <f>+'Info recibida'!CE18/550</f>
        <v>3151937.1090453756</v>
      </c>
      <c r="CE32" s="217">
        <f>+'Info recibida'!CF18/550</f>
        <v>3309533.9644976445</v>
      </c>
      <c r="CF32" s="218">
        <f>+'Info recibida'!CG18/550</f>
        <v>3475010.6627225266</v>
      </c>
      <c r="CG32" s="213">
        <f t="shared" si="7"/>
        <v>25934743.91717305</v>
      </c>
      <c r="CH32" s="217">
        <f>+'Info recibida'!CH18/550</f>
        <v>706905</v>
      </c>
      <c r="CI32" s="217">
        <f>+'Info recibida'!CI18/550</f>
        <v>742250.25</v>
      </c>
      <c r="CJ32" s="217">
        <f>+'Info recibida'!CJ18/550</f>
        <v>779362.76249999995</v>
      </c>
      <c r="CK32" s="217">
        <f>+'Info recibida'!CK18/550</f>
        <v>818330.90062500001</v>
      </c>
      <c r="CL32" s="217">
        <f>+'Info recibida'!CL18/550</f>
        <v>859247.44565625023</v>
      </c>
      <c r="CM32" s="217">
        <f>+'Info recibida'!CM18/550</f>
        <v>902209.81793906295</v>
      </c>
      <c r="CN32" s="217">
        <f>+'Info recibida'!CN18/550</f>
        <v>947320.30883601622</v>
      </c>
      <c r="CO32" s="217">
        <f>+'Info recibida'!CO18/550</f>
        <v>994686.32427781716</v>
      </c>
      <c r="CP32" s="217">
        <f>+'Info recibida'!CP18/550</f>
        <v>1044420.6404917079</v>
      </c>
      <c r="CQ32" s="213">
        <f>+'Info recibida'!CQ18/550</f>
        <v>7794733.4503258551</v>
      </c>
      <c r="CR32" s="70"/>
      <c r="CS32" s="220">
        <v>190000</v>
      </c>
      <c r="CT32" s="71" t="s">
        <v>441</v>
      </c>
      <c r="CU32" s="210"/>
      <c r="CV32" s="210"/>
      <c r="CW32" s="210"/>
      <c r="CX32" s="210"/>
      <c r="CY32" s="221">
        <f>+'Info recibida'!CY18/550</f>
        <v>7604733.4503258551</v>
      </c>
      <c r="CZ32" s="222"/>
      <c r="DA32" s="514"/>
    </row>
    <row r="33" spans="2:105" ht="26.1" customHeight="1" x14ac:dyDescent="0.25">
      <c r="B33" s="204"/>
      <c r="C33" s="205" t="s">
        <v>357</v>
      </c>
      <c r="D33" s="47" t="s">
        <v>4</v>
      </c>
      <c r="E33" s="48" t="s">
        <v>477</v>
      </c>
      <c r="F33" s="48" t="s">
        <v>395</v>
      </c>
      <c r="G33" s="48" t="s">
        <v>478</v>
      </c>
      <c r="H33" s="49"/>
      <c r="I33" s="49"/>
      <c r="J33" s="206"/>
      <c r="K33" s="207"/>
      <c r="L33" s="208"/>
      <c r="N33" s="204" t="s">
        <v>475</v>
      </c>
      <c r="O33" s="47" t="s">
        <v>4</v>
      </c>
      <c r="P33" s="48" t="s">
        <v>407</v>
      </c>
      <c r="Q33" s="48" t="s">
        <v>314</v>
      </c>
      <c r="R33" s="48" t="s">
        <v>314</v>
      </c>
      <c r="S33" s="48"/>
      <c r="T33" s="48"/>
      <c r="U33" s="48"/>
      <c r="V33" s="48"/>
      <c r="W33" s="48" t="s">
        <v>307</v>
      </c>
      <c r="X33" s="48"/>
      <c r="Y33" s="48"/>
      <c r="Z33" s="48"/>
      <c r="AA33" s="48"/>
      <c r="AB33" s="48" t="s">
        <v>314</v>
      </c>
      <c r="AC33" s="207"/>
      <c r="AD33" s="207"/>
      <c r="AE33" s="208"/>
      <c r="AF33" s="47" t="s">
        <v>315</v>
      </c>
      <c r="AG33" s="210" t="s">
        <v>319</v>
      </c>
      <c r="AH33" s="97" t="s">
        <v>476</v>
      </c>
      <c r="AI33" s="170"/>
      <c r="AJ33" s="170">
        <v>0</v>
      </c>
      <c r="AK33" s="170">
        <v>0</v>
      </c>
      <c r="AL33" s="170">
        <v>0</v>
      </c>
      <c r="AM33" s="170">
        <v>0</v>
      </c>
      <c r="AN33" s="170">
        <v>0</v>
      </c>
      <c r="AO33" s="170">
        <v>0</v>
      </c>
      <c r="AP33" s="170">
        <v>0</v>
      </c>
      <c r="AQ33" s="170">
        <v>0</v>
      </c>
      <c r="AR33" s="170">
        <v>0</v>
      </c>
      <c r="AS33" s="170"/>
      <c r="AT33" s="170"/>
      <c r="AU33" s="170">
        <v>4</v>
      </c>
      <c r="AV33" s="170">
        <v>4</v>
      </c>
      <c r="AW33" s="170">
        <v>4</v>
      </c>
      <c r="AX33" s="170">
        <v>4</v>
      </c>
      <c r="AY33" s="170">
        <v>4</v>
      </c>
      <c r="AZ33" s="170">
        <v>4</v>
      </c>
      <c r="BA33" s="170">
        <v>4</v>
      </c>
      <c r="BB33" s="170">
        <v>4</v>
      </c>
      <c r="BC33" s="170">
        <v>1</v>
      </c>
      <c r="BD33" s="48"/>
      <c r="BE33" s="48"/>
      <c r="BF33" s="206"/>
      <c r="BG33" s="68" t="s">
        <v>349</v>
      </c>
      <c r="BH33" s="48"/>
      <c r="BI33" s="211">
        <f>+'Info recibida'!BJ15/550</f>
        <v>0</v>
      </c>
      <c r="BJ33" s="170">
        <f>+'Info recibida'!BK15/550</f>
        <v>0</v>
      </c>
      <c r="BK33" s="170">
        <f>+'Info recibida'!BL15/550</f>
        <v>0</v>
      </c>
      <c r="BL33" s="170">
        <f>+'Info recibida'!BM15/550</f>
        <v>0</v>
      </c>
      <c r="BM33" s="170">
        <f>+'Info recibida'!BN15/550</f>
        <v>0</v>
      </c>
      <c r="BN33" s="170">
        <f>+'Info recibida'!BO15/550</f>
        <v>0</v>
      </c>
      <c r="BO33" s="170">
        <f>+'Info recibida'!BP15/550</f>
        <v>0</v>
      </c>
      <c r="BP33" s="170">
        <f>+'Info recibida'!BQ15/550</f>
        <v>0</v>
      </c>
      <c r="BQ33" s="170">
        <f>+'Info recibida'!BR15/550</f>
        <v>0</v>
      </c>
      <c r="BR33" s="170">
        <f>+'Info recibida'!BS15/550</f>
        <v>0</v>
      </c>
      <c r="BS33" s="170">
        <f>+'Info recibida'!BT15/550</f>
        <v>0</v>
      </c>
      <c r="BT33" s="48"/>
      <c r="BU33" s="48"/>
      <c r="BV33" s="214"/>
      <c r="BW33" s="243"/>
      <c r="BX33" s="212">
        <f>+'Info recibida'!BY15/550</f>
        <v>94545.454545454544</v>
      </c>
      <c r="BY33" s="170">
        <f>+'Info recibida'!BZ15/550</f>
        <v>189090.90909090909</v>
      </c>
      <c r="BZ33" s="170">
        <f>+'Info recibida'!CA15/550</f>
        <v>283636.36363636365</v>
      </c>
      <c r="CA33" s="170">
        <f>+'Info recibida'!CB15/550</f>
        <v>378181.81818181818</v>
      </c>
      <c r="CB33" s="170">
        <f>+'Info recibida'!CC15/550</f>
        <v>472727.27272727271</v>
      </c>
      <c r="CC33" s="170">
        <f>+'Info recibida'!CD15/550</f>
        <v>567272.72727272729</v>
      </c>
      <c r="CD33" s="170">
        <f>+'Info recibida'!CE15/550</f>
        <v>661818.18181818177</v>
      </c>
      <c r="CE33" s="170">
        <f>+'Info recibida'!CF15/550</f>
        <v>756363.63636363635</v>
      </c>
      <c r="CF33" s="218">
        <f>+'Info recibida'!CG15/550</f>
        <v>780000</v>
      </c>
      <c r="CG33" s="213">
        <f t="shared" si="7"/>
        <v>4183636.3636363633</v>
      </c>
      <c r="CH33" s="217">
        <f>+'Info recibida'!CH15/550</f>
        <v>94545.454545454544</v>
      </c>
      <c r="CI33" s="217">
        <f>+'Info recibida'!CI15/550</f>
        <v>189090.90909090909</v>
      </c>
      <c r="CJ33" s="217">
        <f>+'Info recibida'!CJ15/550</f>
        <v>283636.36363636365</v>
      </c>
      <c r="CK33" s="217">
        <f>+'Info recibida'!CK15/550</f>
        <v>378181.81818181818</v>
      </c>
      <c r="CL33" s="217">
        <f>+'Info recibida'!CL15/550</f>
        <v>472727.27272727271</v>
      </c>
      <c r="CM33" s="217">
        <f>+'Info recibida'!CM15/550</f>
        <v>567272.72727272729</v>
      </c>
      <c r="CN33" s="217">
        <f>+'Info recibida'!CN15/550</f>
        <v>661818.18181818177</v>
      </c>
      <c r="CO33" s="217">
        <f>+'Info recibida'!CO15/550</f>
        <v>756363.63636363635</v>
      </c>
      <c r="CP33" s="217">
        <f>+'Info recibida'!CP15/550</f>
        <v>780000</v>
      </c>
      <c r="CQ33" s="213">
        <f>+'Info recibida'!CQ15/550</f>
        <v>4183636.3636363638</v>
      </c>
      <c r="CR33" s="70"/>
      <c r="CS33" s="71"/>
      <c r="CT33" s="71"/>
      <c r="CU33" s="210"/>
      <c r="CV33" s="210"/>
      <c r="CW33" s="210"/>
      <c r="CX33" s="210"/>
      <c r="CY33" s="221">
        <f>+'Info recibida'!CY15/550</f>
        <v>4183636.3636363638</v>
      </c>
      <c r="CZ33" s="222"/>
      <c r="DA33" s="514"/>
    </row>
    <row r="34" spans="2:105" ht="26.1" customHeight="1" x14ac:dyDescent="0.25">
      <c r="B34" s="204" t="s">
        <v>55</v>
      </c>
      <c r="C34" s="205" t="s">
        <v>357</v>
      </c>
      <c r="D34" s="47" t="s">
        <v>4</v>
      </c>
      <c r="E34" s="50" t="s">
        <v>405</v>
      </c>
      <c r="F34" s="48" t="s">
        <v>397</v>
      </c>
      <c r="G34" s="48" t="s">
        <v>116</v>
      </c>
      <c r="H34" s="49" t="s">
        <v>246</v>
      </c>
      <c r="I34" s="49" t="s">
        <v>230</v>
      </c>
      <c r="J34" s="206"/>
      <c r="K34" s="207"/>
      <c r="L34" s="208"/>
      <c r="N34" s="204" t="s">
        <v>455</v>
      </c>
      <c r="O34" s="47" t="s">
        <v>4</v>
      </c>
      <c r="P34" s="48" t="s">
        <v>453</v>
      </c>
      <c r="Q34" s="48" t="s">
        <v>314</v>
      </c>
      <c r="R34" s="48"/>
      <c r="S34" s="48" t="s">
        <v>314</v>
      </c>
      <c r="T34" s="48" t="s">
        <v>314</v>
      </c>
      <c r="U34" s="48"/>
      <c r="V34" s="48"/>
      <c r="W34" s="48" t="s">
        <v>307</v>
      </c>
      <c r="X34" s="48"/>
      <c r="Y34" s="48"/>
      <c r="Z34" s="48"/>
      <c r="AA34" s="48"/>
      <c r="AB34" s="48" t="s">
        <v>314</v>
      </c>
      <c r="AC34" s="48"/>
      <c r="AD34" s="48"/>
      <c r="AE34" s="209"/>
      <c r="AF34" s="47" t="s">
        <v>315</v>
      </c>
      <c r="AG34" s="210" t="s">
        <v>319</v>
      </c>
      <c r="AH34" s="97" t="s">
        <v>471</v>
      </c>
      <c r="AI34" s="170">
        <v>700</v>
      </c>
      <c r="AJ34" s="170">
        <v>700</v>
      </c>
      <c r="AK34" s="170">
        <v>700</v>
      </c>
      <c r="AL34" s="170">
        <v>700</v>
      </c>
      <c r="AM34" s="170">
        <v>200</v>
      </c>
      <c r="AN34" s="170">
        <v>200</v>
      </c>
      <c r="AO34" s="170">
        <v>200</v>
      </c>
      <c r="AP34" s="170">
        <v>200</v>
      </c>
      <c r="AQ34" s="170">
        <v>200</v>
      </c>
      <c r="AR34" s="170">
        <v>200</v>
      </c>
      <c r="AS34" s="170"/>
      <c r="AT34" s="170"/>
      <c r="AU34" s="170">
        <v>700</v>
      </c>
      <c r="AV34" s="170">
        <v>700</v>
      </c>
      <c r="AW34" s="170">
        <v>700</v>
      </c>
      <c r="AX34" s="170">
        <v>700</v>
      </c>
      <c r="AY34" s="170">
        <v>700</v>
      </c>
      <c r="AZ34" s="170">
        <v>700</v>
      </c>
      <c r="BA34" s="170">
        <v>700</v>
      </c>
      <c r="BB34" s="170">
        <v>700</v>
      </c>
      <c r="BC34" s="170">
        <v>700</v>
      </c>
      <c r="BD34" s="170"/>
      <c r="BE34" s="260"/>
      <c r="BF34" s="206" t="s">
        <v>311</v>
      </c>
      <c r="BG34" s="68" t="s">
        <v>321</v>
      </c>
      <c r="BH34" s="48" t="s">
        <v>313</v>
      </c>
      <c r="BI34" s="211">
        <f>+'Info recibida'!BJ61/550</f>
        <v>0</v>
      </c>
      <c r="BJ34" s="170">
        <f>+'Info recibida'!BK61/550</f>
        <v>785712.1212121211</v>
      </c>
      <c r="BK34" s="170">
        <f>+'Info recibida'!BL61/550</f>
        <v>785712.1212121211</v>
      </c>
      <c r="BL34" s="170">
        <f>+'Info recibida'!BM61/550</f>
        <v>785712.1212121211</v>
      </c>
      <c r="BM34" s="170">
        <f>+'Info recibida'!BN61/550</f>
        <v>179045.45454545456</v>
      </c>
      <c r="BN34" s="170">
        <f>+'Info recibida'!BO61/550</f>
        <v>179045.45454545456</v>
      </c>
      <c r="BO34" s="170">
        <f>+'Info recibida'!BP61/550</f>
        <v>179045.45454545456</v>
      </c>
      <c r="BP34" s="170">
        <f>+'Info recibida'!BQ61/550</f>
        <v>179045.45454545456</v>
      </c>
      <c r="BQ34" s="170">
        <f>+'Info recibida'!BR61/550</f>
        <v>179045.45454545456</v>
      </c>
      <c r="BR34" s="170">
        <f>+'Info recibida'!BS61/550</f>
        <v>179045.45454545456</v>
      </c>
      <c r="BS34" s="170">
        <f>+'Info recibida'!BT61/550</f>
        <v>3431409.0909090908</v>
      </c>
      <c r="BT34" s="341">
        <f>98475000*9/(98475000*9+2600000*550)</f>
        <v>0.38262943735091903</v>
      </c>
      <c r="BU34" s="48"/>
      <c r="BV34" s="341">
        <f>2600000*550/(98475000*9+2600000*550)</f>
        <v>0.61737056264908097</v>
      </c>
      <c r="BW34" s="243" t="s">
        <v>454</v>
      </c>
      <c r="BX34" s="212">
        <f>+'Info recibida'!BY61/550</f>
        <v>785712.1212121211</v>
      </c>
      <c r="BY34" s="170">
        <f>+'Info recibida'!BZ61/550</f>
        <v>785712.1212121211</v>
      </c>
      <c r="BZ34" s="170">
        <f>+'Info recibida'!CA61/550</f>
        <v>785712.1212121211</v>
      </c>
      <c r="CA34" s="170">
        <f>+'Info recibida'!CB61/550</f>
        <v>845712.12121212005</v>
      </c>
      <c r="CB34" s="170">
        <f>+'Info recibida'!CC61/550</f>
        <v>845712.12121212005</v>
      </c>
      <c r="CC34" s="170">
        <f>+'Info recibida'!CD61/550</f>
        <v>845712.12121212005</v>
      </c>
      <c r="CD34" s="170">
        <f>+'Info recibida'!CE61/550</f>
        <v>845712.12121212005</v>
      </c>
      <c r="CE34" s="170">
        <f>+'Info recibida'!CF61/550</f>
        <v>845712.12121212005</v>
      </c>
      <c r="CF34" s="218">
        <f>+'Info recibida'!CG61/550</f>
        <v>845712.12121212005</v>
      </c>
      <c r="CG34" s="213">
        <f t="shared" si="7"/>
        <v>7431409.0909090843</v>
      </c>
      <c r="CH34" s="217">
        <f>+'Info recibida'!CH61/550</f>
        <v>0</v>
      </c>
      <c r="CI34" s="170">
        <f>+'Info recibida'!CI61/550</f>
        <v>0</v>
      </c>
      <c r="CJ34" s="170">
        <f>+'Info recibida'!CJ61/550</f>
        <v>0</v>
      </c>
      <c r="CK34" s="170">
        <f>+'Info recibida'!CK61/550</f>
        <v>666666.66666666546</v>
      </c>
      <c r="CL34" s="170">
        <f>+'Info recibida'!CL61/550</f>
        <v>666666.66666666546</v>
      </c>
      <c r="CM34" s="170">
        <f>+'Info recibida'!CM61/550</f>
        <v>666666.66666666546</v>
      </c>
      <c r="CN34" s="170">
        <f>+'Info recibida'!CN61/550</f>
        <v>666666.66666666546</v>
      </c>
      <c r="CO34" s="170">
        <f>+'Info recibida'!CO61/550</f>
        <v>666666.66666666546</v>
      </c>
      <c r="CP34" s="170">
        <f>+'Info recibida'!CP61/550</f>
        <v>666666.66666666546</v>
      </c>
      <c r="CQ34" s="213">
        <f>+'Info recibida'!CQ61/550</f>
        <v>3999999.999999993</v>
      </c>
      <c r="CR34" s="70"/>
      <c r="CS34" s="71"/>
      <c r="CT34" s="71"/>
      <c r="CU34" s="210"/>
      <c r="CV34" s="210"/>
      <c r="CW34" s="210"/>
      <c r="CX34" s="210"/>
      <c r="CY34" s="221">
        <f>+'Info recibida'!CY61/550</f>
        <v>3999999.999999993</v>
      </c>
      <c r="CZ34" s="222"/>
      <c r="DA34" s="514"/>
    </row>
    <row r="35" spans="2:105" ht="26.1" customHeight="1" x14ac:dyDescent="0.25">
      <c r="B35" s="237" t="s">
        <v>28</v>
      </c>
      <c r="C35" s="275" t="s">
        <v>357</v>
      </c>
      <c r="D35" s="47" t="s">
        <v>4</v>
      </c>
      <c r="E35" s="48" t="s">
        <v>409</v>
      </c>
      <c r="F35" s="48" t="s">
        <v>25</v>
      </c>
      <c r="G35" s="48" t="s">
        <v>107</v>
      </c>
      <c r="H35" s="49" t="s">
        <v>217</v>
      </c>
      <c r="I35" s="49" t="s">
        <v>229</v>
      </c>
      <c r="J35" s="206"/>
      <c r="K35" s="207"/>
      <c r="L35" s="208"/>
      <c r="N35" s="237" t="s">
        <v>28</v>
      </c>
      <c r="O35" s="47" t="s">
        <v>4</v>
      </c>
      <c r="P35" s="48" t="s">
        <v>409</v>
      </c>
      <c r="Q35" s="48" t="s">
        <v>314</v>
      </c>
      <c r="R35" s="48" t="s">
        <v>314</v>
      </c>
      <c r="S35" s="48"/>
      <c r="T35" s="48" t="s">
        <v>314</v>
      </c>
      <c r="U35" s="48"/>
      <c r="V35" s="48"/>
      <c r="W35" s="48" t="s">
        <v>307</v>
      </c>
      <c r="X35" s="48"/>
      <c r="Y35" s="48"/>
      <c r="Z35" s="48"/>
      <c r="AA35" s="48"/>
      <c r="AB35" s="48" t="s">
        <v>314</v>
      </c>
      <c r="AC35" s="48"/>
      <c r="AD35" s="48" t="s">
        <v>314</v>
      </c>
      <c r="AE35" s="208"/>
      <c r="AF35" s="47" t="s">
        <v>315</v>
      </c>
      <c r="AG35" s="266" t="s">
        <v>319</v>
      </c>
      <c r="AH35" s="101" t="s">
        <v>419</v>
      </c>
      <c r="AI35" s="48"/>
      <c r="AJ35" s="215">
        <v>0.7</v>
      </c>
      <c r="AK35" s="215">
        <v>0.7</v>
      </c>
      <c r="AL35" s="215">
        <v>0.7</v>
      </c>
      <c r="AM35" s="215">
        <v>0.7</v>
      </c>
      <c r="AN35" s="215">
        <v>0.7</v>
      </c>
      <c r="AO35" s="215">
        <v>0.7</v>
      </c>
      <c r="AP35" s="215">
        <v>0.7</v>
      </c>
      <c r="AQ35" s="215">
        <v>0.7</v>
      </c>
      <c r="AR35" s="215">
        <v>0.7</v>
      </c>
      <c r="AS35" s="48"/>
      <c r="AT35" s="48"/>
      <c r="AU35" s="215">
        <v>0.9</v>
      </c>
      <c r="AV35" s="215">
        <v>0.9</v>
      </c>
      <c r="AW35" s="215">
        <v>0.9</v>
      </c>
      <c r="AX35" s="215">
        <v>0.9</v>
      </c>
      <c r="AY35" s="215">
        <v>0.9</v>
      </c>
      <c r="AZ35" s="215">
        <v>0.9</v>
      </c>
      <c r="BA35" s="215">
        <v>0.9</v>
      </c>
      <c r="BB35" s="215">
        <v>0.9</v>
      </c>
      <c r="BC35" s="215">
        <v>0.9</v>
      </c>
      <c r="BD35" s="48"/>
      <c r="BE35" s="94"/>
      <c r="BF35" s="268" t="s">
        <v>4</v>
      </c>
      <c r="BG35" s="68" t="s">
        <v>349</v>
      </c>
      <c r="BH35" s="48" t="s">
        <v>323</v>
      </c>
      <c r="BI35" s="211">
        <f>+'Info recibida'!BJ31/550</f>
        <v>0</v>
      </c>
      <c r="BJ35" s="170">
        <f>+'Info recibida'!BK31/550</f>
        <v>3158000</v>
      </c>
      <c r="BK35" s="170">
        <f>+'Info recibida'!BL31/550</f>
        <v>1396181.8181818181</v>
      </c>
      <c r="BL35" s="170">
        <f>+'Info recibida'!BM31/550</f>
        <v>853454.54545454541</v>
      </c>
      <c r="BM35" s="170">
        <f>+'Info recibida'!BN31/550</f>
        <v>880727.27272727271</v>
      </c>
      <c r="BN35" s="170">
        <f>+'Info recibida'!BO31/550</f>
        <v>986909.09090909094</v>
      </c>
      <c r="BO35" s="170">
        <f>+'Info recibida'!BP31/550</f>
        <v>947272.72727272729</v>
      </c>
      <c r="BP35" s="170">
        <f>+'Info recibida'!BQ31/550</f>
        <v>1162727.2727272727</v>
      </c>
      <c r="BQ35" s="170">
        <f>+'Info recibida'!BR31/550</f>
        <v>1137272.7272727273</v>
      </c>
      <c r="BR35" s="170">
        <f>+'Info recibida'!BS31/550</f>
        <v>1328181.8181818181</v>
      </c>
      <c r="BS35" s="170">
        <f>+'Info recibida'!BT31/550</f>
        <v>11850727.272727273</v>
      </c>
      <c r="BT35" s="308">
        <v>1</v>
      </c>
      <c r="BU35" s="48"/>
      <c r="BV35" s="48"/>
      <c r="BW35" s="243"/>
      <c r="BX35" s="212">
        <f>+'Info recibida'!BY31/550</f>
        <v>3106181.8181818184</v>
      </c>
      <c r="BY35" s="170">
        <f>+'Info recibida'!BZ31/550</f>
        <v>1893454.5454545454</v>
      </c>
      <c r="BZ35" s="170">
        <f>+'Info recibida'!CA31/550</f>
        <v>1114363.6345454545</v>
      </c>
      <c r="CA35" s="170">
        <f>+'Info recibida'!CB31/550</f>
        <v>1396181.8181818181</v>
      </c>
      <c r="CB35" s="170">
        <f>+'Info recibida'!CC31/550</f>
        <v>1695090.9090909092</v>
      </c>
      <c r="CC35" s="170">
        <f>+'Info recibida'!CD31/550</f>
        <v>1480909.0909090908</v>
      </c>
      <c r="CD35" s="170">
        <f>+'Info recibida'!CE31/550</f>
        <v>1416363.6363636365</v>
      </c>
      <c r="CE35" s="170">
        <f>+'Info recibida'!CF31/550</f>
        <v>1658181.8181818181</v>
      </c>
      <c r="CF35" s="218">
        <f>+'Info recibida'!CG31/550</f>
        <v>2080000.0018181817</v>
      </c>
      <c r="CG35" s="213">
        <f t="shared" si="7"/>
        <v>15840727.272727273</v>
      </c>
      <c r="CH35" s="212">
        <f>+'Info recibida'!CH31/550</f>
        <v>-51818.181818181816</v>
      </c>
      <c r="CI35" s="170">
        <f>+'Info recibida'!CI31/550</f>
        <v>497272.72727272729</v>
      </c>
      <c r="CJ35" s="170">
        <f>+'Info recibida'!CJ31/550</f>
        <v>260909.08909090908</v>
      </c>
      <c r="CK35" s="170">
        <f>+'Info recibida'!CK31/550</f>
        <v>515454.54545454547</v>
      </c>
      <c r="CL35" s="170">
        <f>+'Info recibida'!CL31/550</f>
        <v>708181.81818181823</v>
      </c>
      <c r="CM35" s="170">
        <f>+'Info recibida'!CM31/550</f>
        <v>533636.36363636365</v>
      </c>
      <c r="CN35" s="170">
        <f>+'Info recibida'!CN31/550</f>
        <v>253636.36363636365</v>
      </c>
      <c r="CO35" s="170">
        <f>+'Info recibida'!CO31/550</f>
        <v>520909.09090909088</v>
      </c>
      <c r="CP35" s="170">
        <f>+'Info recibida'!CP31/550</f>
        <v>751818.1836363636</v>
      </c>
      <c r="CQ35" s="213">
        <f>+'Info recibida'!CQ31/550</f>
        <v>3990000</v>
      </c>
      <c r="CR35" s="70"/>
      <c r="CS35" s="220">
        <v>100000</v>
      </c>
      <c r="CT35" s="71" t="s">
        <v>326</v>
      </c>
      <c r="CU35" s="210"/>
      <c r="CV35" s="210"/>
      <c r="CW35" s="210"/>
      <c r="CX35" s="210"/>
      <c r="CY35" s="221">
        <f>+'Info recibida'!CY31/550</f>
        <v>3890000</v>
      </c>
      <c r="CZ35" s="222"/>
      <c r="DA35" s="514"/>
    </row>
    <row r="36" spans="2:105" ht="26.1" customHeight="1" x14ac:dyDescent="0.25">
      <c r="B36" s="204" t="s">
        <v>39</v>
      </c>
      <c r="C36" s="205" t="s">
        <v>357</v>
      </c>
      <c r="D36" s="47" t="s">
        <v>4</v>
      </c>
      <c r="E36" s="48" t="s">
        <v>405</v>
      </c>
      <c r="F36" s="48" t="s">
        <v>397</v>
      </c>
      <c r="G36" s="48" t="s">
        <v>112</v>
      </c>
      <c r="H36" s="49"/>
      <c r="I36" s="49" t="s">
        <v>230</v>
      </c>
      <c r="J36" s="206"/>
      <c r="K36" s="207"/>
      <c r="L36" s="208"/>
      <c r="N36" s="204" t="s">
        <v>367</v>
      </c>
      <c r="O36" s="47" t="s">
        <v>4</v>
      </c>
      <c r="P36" s="48" t="s">
        <v>11</v>
      </c>
      <c r="Q36" s="48"/>
      <c r="R36" s="48" t="s">
        <v>314</v>
      </c>
      <c r="S36" s="48" t="s">
        <v>314</v>
      </c>
      <c r="T36" s="48"/>
      <c r="U36" s="48"/>
      <c r="V36" s="48"/>
      <c r="W36" s="48" t="s">
        <v>307</v>
      </c>
      <c r="X36" s="48"/>
      <c r="Y36" s="48"/>
      <c r="Z36" s="48" t="s">
        <v>314</v>
      </c>
      <c r="AA36" s="48"/>
      <c r="AB36" s="48"/>
      <c r="AC36" s="48"/>
      <c r="AD36" s="48"/>
      <c r="AE36" s="209"/>
      <c r="AF36" s="47" t="s">
        <v>308</v>
      </c>
      <c r="AG36" s="210" t="s">
        <v>309</v>
      </c>
      <c r="AH36" s="101" t="s">
        <v>368</v>
      </c>
      <c r="AI36" s="170">
        <v>6</v>
      </c>
      <c r="AJ36" s="170">
        <v>3</v>
      </c>
      <c r="AK36" s="170">
        <v>3</v>
      </c>
      <c r="AL36" s="170">
        <v>3</v>
      </c>
      <c r="AM36" s="170">
        <v>3</v>
      </c>
      <c r="AN36" s="170">
        <v>3</v>
      </c>
      <c r="AO36" s="170">
        <v>3</v>
      </c>
      <c r="AP36" s="170">
        <v>3</v>
      </c>
      <c r="AQ36" s="170">
        <v>3</v>
      </c>
      <c r="AR36" s="170">
        <v>3</v>
      </c>
      <c r="AS36" s="170"/>
      <c r="AT36" s="170"/>
      <c r="AU36" s="170">
        <v>23</v>
      </c>
      <c r="AV36" s="170">
        <v>23</v>
      </c>
      <c r="AW36" s="170">
        <v>23</v>
      </c>
      <c r="AX36" s="170">
        <v>23</v>
      </c>
      <c r="AY36" s="170">
        <v>23</v>
      </c>
      <c r="AZ36" s="170">
        <v>23</v>
      </c>
      <c r="BA36" s="170">
        <v>23</v>
      </c>
      <c r="BB36" s="170">
        <v>23</v>
      </c>
      <c r="BC36" s="170">
        <v>23</v>
      </c>
      <c r="BD36" s="170"/>
      <c r="BE36" s="260"/>
      <c r="BF36" s="206" t="s">
        <v>330</v>
      </c>
      <c r="BG36" s="257" t="s">
        <v>423</v>
      </c>
      <c r="BH36" s="48" t="s">
        <v>323</v>
      </c>
      <c r="BI36" s="493">
        <f>+'Info recibida'!BJ43/550</f>
        <v>91636.363636363632</v>
      </c>
      <c r="BJ36" s="221">
        <f>+'Info recibida'!BK43/550</f>
        <v>45000</v>
      </c>
      <c r="BK36" s="221">
        <f>+'Info recibida'!BL43/550</f>
        <v>45000</v>
      </c>
      <c r="BL36" s="221">
        <f>+'Info recibida'!BM43/550</f>
        <v>45000</v>
      </c>
      <c r="BM36" s="221">
        <f>+'Info recibida'!BN43/550</f>
        <v>45000</v>
      </c>
      <c r="BN36" s="221">
        <f>+'Info recibida'!BO43/550</f>
        <v>45000</v>
      </c>
      <c r="BO36" s="221">
        <f>+'Info recibida'!BP43/550</f>
        <v>45000</v>
      </c>
      <c r="BP36" s="221">
        <f>+'Info recibida'!BQ43/550</f>
        <v>45000</v>
      </c>
      <c r="BQ36" s="221">
        <f>+'Info recibida'!BR43/550</f>
        <v>45000</v>
      </c>
      <c r="BR36" s="221">
        <f>+'Info recibida'!BS43/550</f>
        <v>45000</v>
      </c>
      <c r="BS36" s="170">
        <f>+'Info recibida'!BT43/550</f>
        <v>405000</v>
      </c>
      <c r="BT36" s="48"/>
      <c r="BU36" s="48"/>
      <c r="BV36" s="308">
        <v>1</v>
      </c>
      <c r="BW36" s="243" t="s">
        <v>496</v>
      </c>
      <c r="BX36" s="212">
        <f>+'Info recibida'!BY43/550</f>
        <v>345000</v>
      </c>
      <c r="BY36" s="170">
        <f>+'Info recibida'!BZ43/550</f>
        <v>345000</v>
      </c>
      <c r="BZ36" s="170">
        <f>+'Info recibida'!CA43/550</f>
        <v>345000</v>
      </c>
      <c r="CA36" s="170">
        <f>+'Info recibida'!CB43/550</f>
        <v>345000</v>
      </c>
      <c r="CB36" s="170">
        <f>+'Info recibida'!CC43/550</f>
        <v>345000</v>
      </c>
      <c r="CC36" s="170">
        <f>+'Info recibida'!CD43/550</f>
        <v>345000</v>
      </c>
      <c r="CD36" s="170">
        <f>+'Info recibida'!CE43/550</f>
        <v>345000</v>
      </c>
      <c r="CE36" s="170">
        <f>+'Info recibida'!CF43/550</f>
        <v>345000</v>
      </c>
      <c r="CF36" s="218">
        <f>+'Info recibida'!CG43/550</f>
        <v>345000</v>
      </c>
      <c r="CG36" s="213">
        <f>SUM(BW36:CF36)</f>
        <v>3105000</v>
      </c>
      <c r="CH36" s="212">
        <f>+'Info recibida'!CH43/550</f>
        <v>300000</v>
      </c>
      <c r="CI36" s="170">
        <f>+'Info recibida'!CI43/550</f>
        <v>300000</v>
      </c>
      <c r="CJ36" s="170">
        <f>+'Info recibida'!CJ43/550</f>
        <v>300000</v>
      </c>
      <c r="CK36" s="170">
        <f>+'Info recibida'!CK43/550</f>
        <v>300000</v>
      </c>
      <c r="CL36" s="170">
        <f>+'Info recibida'!CL43/550</f>
        <v>300000</v>
      </c>
      <c r="CM36" s="170">
        <f>+'Info recibida'!CM43/550</f>
        <v>300000</v>
      </c>
      <c r="CN36" s="170">
        <f>+'Info recibida'!CN43/550</f>
        <v>300000</v>
      </c>
      <c r="CO36" s="170">
        <f>+'Info recibida'!CO43/550</f>
        <v>300000</v>
      </c>
      <c r="CP36" s="170">
        <f>+'Info recibida'!CP43/550</f>
        <v>300000</v>
      </c>
      <c r="CQ36" s="213">
        <f>+'Info recibida'!CQ43/550</f>
        <v>2700000</v>
      </c>
      <c r="CR36" s="70"/>
      <c r="CS36" s="220">
        <v>99000</v>
      </c>
      <c r="CT36" s="71" t="s">
        <v>369</v>
      </c>
      <c r="CU36" s="210"/>
      <c r="CV36" s="210"/>
      <c r="CW36" s="210"/>
      <c r="CX36" s="210"/>
      <c r="CY36" s="221">
        <f>+'Info recibida'!CY43/550</f>
        <v>2601000</v>
      </c>
      <c r="CZ36" s="222"/>
      <c r="DA36" s="517"/>
    </row>
    <row r="37" spans="2:105" ht="26.1" customHeight="1" x14ac:dyDescent="0.25">
      <c r="B37" s="204"/>
      <c r="C37" s="205"/>
      <c r="D37" s="47" t="s">
        <v>4</v>
      </c>
      <c r="E37" s="48" t="s">
        <v>405</v>
      </c>
      <c r="F37" s="48" t="s">
        <v>397</v>
      </c>
      <c r="G37" s="48" t="s">
        <v>113</v>
      </c>
      <c r="H37" s="49"/>
      <c r="I37" s="49" t="s">
        <v>230</v>
      </c>
      <c r="J37" s="206"/>
      <c r="K37" s="207"/>
      <c r="L37" s="208"/>
      <c r="N37" s="204" t="s">
        <v>473</v>
      </c>
      <c r="O37" s="47" t="s">
        <v>4</v>
      </c>
      <c r="P37" s="48" t="s">
        <v>444</v>
      </c>
      <c r="Q37" s="48"/>
      <c r="R37" s="48"/>
      <c r="S37" s="48"/>
      <c r="T37" s="48"/>
      <c r="U37" s="48"/>
      <c r="V37" s="48"/>
      <c r="W37" s="48"/>
      <c r="X37" s="48"/>
      <c r="Y37" s="48"/>
      <c r="Z37" s="48"/>
      <c r="AA37" s="48"/>
      <c r="AB37" s="48"/>
      <c r="AC37" s="48"/>
      <c r="AD37" s="48"/>
      <c r="AE37" s="209"/>
      <c r="AF37" s="47"/>
      <c r="AG37" s="210" t="s">
        <v>339</v>
      </c>
      <c r="AH37" s="97" t="s">
        <v>447</v>
      </c>
      <c r="AI37" s="170"/>
      <c r="AJ37" s="170">
        <v>30</v>
      </c>
      <c r="AK37" s="170">
        <v>50</v>
      </c>
      <c r="AL37" s="170">
        <v>50</v>
      </c>
      <c r="AM37" s="170">
        <v>50</v>
      </c>
      <c r="AN37" s="170">
        <v>50</v>
      </c>
      <c r="AO37" s="170">
        <v>50</v>
      </c>
      <c r="AP37" s="170">
        <v>50</v>
      </c>
      <c r="AQ37" s="170">
        <v>50</v>
      </c>
      <c r="AR37" s="170">
        <v>50</v>
      </c>
      <c r="AS37" s="170"/>
      <c r="AT37" s="170"/>
      <c r="AU37" s="170">
        <v>40</v>
      </c>
      <c r="AV37" s="170">
        <v>75</v>
      </c>
      <c r="AW37" s="170">
        <v>75</v>
      </c>
      <c r="AX37" s="170">
        <v>75</v>
      </c>
      <c r="AY37" s="170">
        <v>75</v>
      </c>
      <c r="AZ37" s="170">
        <v>75</v>
      </c>
      <c r="BA37" s="170">
        <v>75</v>
      </c>
      <c r="BB37" s="170">
        <v>75</v>
      </c>
      <c r="BC37" s="170">
        <v>75</v>
      </c>
      <c r="BD37" s="170"/>
      <c r="BE37" s="260"/>
      <c r="BF37" s="206"/>
      <c r="BG37" s="257" t="s">
        <v>349</v>
      </c>
      <c r="BH37" s="48"/>
      <c r="BI37" s="211">
        <f>+'Info recibida'!BJ45/550</f>
        <v>0</v>
      </c>
      <c r="BJ37" s="170">
        <f>+'Info recibida'!BK45/550</f>
        <v>214342.65734265733</v>
      </c>
      <c r="BK37" s="170">
        <f>+'Info recibida'!BL45/550</f>
        <v>357237.76223776222</v>
      </c>
      <c r="BL37" s="170">
        <f>+'Info recibida'!BM45/550</f>
        <v>357237.76223776222</v>
      </c>
      <c r="BM37" s="170">
        <f>+'Info recibida'!BN45/550</f>
        <v>357237.76223776222</v>
      </c>
      <c r="BN37" s="170">
        <f>+'Info recibida'!BO45/550</f>
        <v>357237.76223776222</v>
      </c>
      <c r="BO37" s="170">
        <f>+'Info recibida'!BP45/550</f>
        <v>357237.76223776222</v>
      </c>
      <c r="BP37" s="170">
        <f>+'Info recibida'!BQ45/550</f>
        <v>357237.76223776222</v>
      </c>
      <c r="BQ37" s="170">
        <f>+'Info recibida'!BR45/550</f>
        <v>357237.76223776222</v>
      </c>
      <c r="BR37" s="170">
        <f>+'Info recibida'!BS45/550</f>
        <v>357237.76223776222</v>
      </c>
      <c r="BS37" s="170">
        <f>+'Info recibida'!BT45/550</f>
        <v>3072244.7552447543</v>
      </c>
      <c r="BT37" s="215">
        <v>1</v>
      </c>
      <c r="BU37" s="48"/>
      <c r="BV37" s="48"/>
      <c r="BW37" s="243"/>
      <c r="BX37" s="212">
        <f>+'Info recibida'!BY45/550</f>
        <v>295790.20979020977</v>
      </c>
      <c r="BY37" s="170">
        <f>+'Info recibida'!BZ45/550</f>
        <v>545856.64335664338</v>
      </c>
      <c r="BZ37" s="170">
        <f>+'Info recibida'!CA45/550</f>
        <v>545856.64335664338</v>
      </c>
      <c r="CA37" s="170">
        <f>+'Info recibida'!CB45/550</f>
        <v>545856.64335664338</v>
      </c>
      <c r="CB37" s="170">
        <f>+'Info recibida'!CC45/550</f>
        <v>545856.64335664338</v>
      </c>
      <c r="CC37" s="170">
        <f>+'Info recibida'!CD45/550</f>
        <v>545856.64335664338</v>
      </c>
      <c r="CD37" s="170">
        <f>+'Info recibida'!CE45/550</f>
        <v>545856.64335664338</v>
      </c>
      <c r="CE37" s="170">
        <f>+'Info recibida'!CF45/550</f>
        <v>545856.64335664338</v>
      </c>
      <c r="CF37" s="218">
        <f>+'Info recibida'!CG45/550</f>
        <v>545856.64335664338</v>
      </c>
      <c r="CG37" s="213">
        <f t="shared" ref="CG37:CG57" si="9">SUM(BX37:CF37)</f>
        <v>4662643.3566433573</v>
      </c>
      <c r="CH37" s="212">
        <f>+'Info recibida'!CH45/550</f>
        <v>81447.552447552458</v>
      </c>
      <c r="CI37" s="170">
        <f>+'Info recibida'!CI45/550</f>
        <v>188618.88111888117</v>
      </c>
      <c r="CJ37" s="170">
        <f>+'Info recibida'!CJ45/550</f>
        <v>188618.88111888117</v>
      </c>
      <c r="CK37" s="170">
        <f>+'Info recibida'!CK45/550</f>
        <v>188618.88111888117</v>
      </c>
      <c r="CL37" s="170">
        <f>+'Info recibida'!CL45/550</f>
        <v>188618.88111888117</v>
      </c>
      <c r="CM37" s="170">
        <f>+'Info recibida'!CM45/550</f>
        <v>188618.88111888117</v>
      </c>
      <c r="CN37" s="170">
        <f>+'Info recibida'!CN45/550</f>
        <v>188618.88111888117</v>
      </c>
      <c r="CO37" s="170">
        <f>+'Info recibida'!CO45/550</f>
        <v>188618.88111888117</v>
      </c>
      <c r="CP37" s="170">
        <f>+'Info recibida'!CP45/550</f>
        <v>188618.88111888117</v>
      </c>
      <c r="CQ37" s="213">
        <f>+'Info recibida'!CQ45/550</f>
        <v>1590398.6013986014</v>
      </c>
      <c r="CR37" s="70"/>
      <c r="CS37" s="71"/>
      <c r="CT37" s="71"/>
      <c r="CU37" s="210"/>
      <c r="CV37" s="210"/>
      <c r="CW37" s="210"/>
      <c r="CX37" s="210"/>
      <c r="CY37" s="221">
        <f>+'Info recibida'!CY45/550</f>
        <v>1590398.6013986014</v>
      </c>
      <c r="CZ37" s="222"/>
      <c r="DA37" s="517"/>
    </row>
    <row r="38" spans="2:105" ht="26.1" customHeight="1" x14ac:dyDescent="0.25">
      <c r="B38" s="204" t="s">
        <v>62</v>
      </c>
      <c r="C38" s="205" t="s">
        <v>356</v>
      </c>
      <c r="D38" s="47" t="s">
        <v>4</v>
      </c>
      <c r="E38" s="48" t="s">
        <v>406</v>
      </c>
      <c r="F38" s="48" t="s">
        <v>63</v>
      </c>
      <c r="G38" s="48" t="s">
        <v>119</v>
      </c>
      <c r="H38" s="49"/>
      <c r="I38" s="49" t="s">
        <v>214</v>
      </c>
      <c r="J38" s="206"/>
      <c r="K38" s="207"/>
      <c r="L38" s="208"/>
      <c r="N38" s="204" t="s">
        <v>62</v>
      </c>
      <c r="O38" s="47" t="s">
        <v>4</v>
      </c>
      <c r="P38" s="48" t="s">
        <v>406</v>
      </c>
      <c r="Q38" s="48" t="s">
        <v>314</v>
      </c>
      <c r="R38" s="48" t="s">
        <v>314</v>
      </c>
      <c r="S38" s="48" t="s">
        <v>314</v>
      </c>
      <c r="T38" s="48" t="s">
        <v>314</v>
      </c>
      <c r="U38" s="48"/>
      <c r="V38" s="48"/>
      <c r="W38" s="48" t="s">
        <v>307</v>
      </c>
      <c r="X38" s="48"/>
      <c r="Y38" s="48" t="s">
        <v>314</v>
      </c>
      <c r="Z38" s="48"/>
      <c r="AA38" s="48"/>
      <c r="AB38" s="48" t="s">
        <v>314</v>
      </c>
      <c r="AC38" s="48"/>
      <c r="AD38" s="48" t="s">
        <v>314</v>
      </c>
      <c r="AE38" s="94"/>
      <c r="AF38" s="47" t="s">
        <v>315</v>
      </c>
      <c r="AG38" s="210" t="s">
        <v>319</v>
      </c>
      <c r="AH38" s="267" t="s">
        <v>327</v>
      </c>
      <c r="AI38" s="170">
        <v>24000</v>
      </c>
      <c r="AJ38" s="170">
        <v>500</v>
      </c>
      <c r="AK38" s="170">
        <v>500</v>
      </c>
      <c r="AL38" s="170">
        <v>500</v>
      </c>
      <c r="AM38" s="170">
        <v>500</v>
      </c>
      <c r="AN38" s="170">
        <v>500</v>
      </c>
      <c r="AO38" s="170">
        <v>500</v>
      </c>
      <c r="AP38" s="170">
        <v>500</v>
      </c>
      <c r="AQ38" s="170">
        <v>500</v>
      </c>
      <c r="AR38" s="170">
        <v>500</v>
      </c>
      <c r="AS38" s="170"/>
      <c r="AT38" s="170"/>
      <c r="AU38" s="170">
        <v>500</v>
      </c>
      <c r="AV38" s="170">
        <v>500</v>
      </c>
      <c r="AW38" s="170">
        <v>500</v>
      </c>
      <c r="AX38" s="170">
        <v>500</v>
      </c>
      <c r="AY38" s="170">
        <v>500</v>
      </c>
      <c r="AZ38" s="170">
        <v>500</v>
      </c>
      <c r="BA38" s="170">
        <v>500</v>
      </c>
      <c r="BB38" s="170">
        <v>500</v>
      </c>
      <c r="BC38" s="170">
        <v>500</v>
      </c>
      <c r="BD38" s="170"/>
      <c r="BE38" s="260"/>
      <c r="BF38" s="206" t="s">
        <v>4</v>
      </c>
      <c r="BG38" s="68" t="s">
        <v>321</v>
      </c>
      <c r="BH38" s="48" t="s">
        <v>323</v>
      </c>
      <c r="BI38" s="252">
        <f>+'Info recibida'!BJ67/550</f>
        <v>21818.18181818182</v>
      </c>
      <c r="BJ38" s="170">
        <f>+'Info recibida'!BK67/550</f>
        <v>22472.727272727272</v>
      </c>
      <c r="BK38" s="170">
        <f>+'Info recibida'!BL67/550</f>
        <v>23146.909090909092</v>
      </c>
      <c r="BL38" s="170">
        <f>+'Info recibida'!BM67/550</f>
        <v>23841.316363636364</v>
      </c>
      <c r="BM38" s="170">
        <f>+'Info recibida'!BN67/550</f>
        <v>24556.555854545455</v>
      </c>
      <c r="BN38" s="170">
        <f>+'Info recibida'!BO67/550</f>
        <v>25293.25253018182</v>
      </c>
      <c r="BO38" s="170">
        <f>+'Info recibida'!BP67/550</f>
        <v>26052.050106087278</v>
      </c>
      <c r="BP38" s="170">
        <f>+'Info recibida'!BQ67/550</f>
        <v>26833.611609269894</v>
      </c>
      <c r="BQ38" s="170">
        <f>+'Info recibida'!BR67/550</f>
        <v>27638.619957547995</v>
      </c>
      <c r="BR38" s="170">
        <f>+'Info recibida'!BS67/550</f>
        <v>28467.778556274432</v>
      </c>
      <c r="BS38" s="170">
        <f>+'Info recibida'!BT67/550</f>
        <v>228302.8213411796</v>
      </c>
      <c r="BT38" s="215">
        <v>1</v>
      </c>
      <c r="BU38" s="48"/>
      <c r="BV38" s="48"/>
      <c r="BW38" s="243"/>
      <c r="BX38" s="212">
        <f>+'Info recibida'!BY67/550</f>
        <v>22472.727272727272</v>
      </c>
      <c r="BY38" s="170">
        <f>+'Info recibida'!BZ67/550</f>
        <v>57692.36363636364</v>
      </c>
      <c r="BZ38" s="170">
        <f>+'Info recibida'!CA67/550</f>
        <v>93968.589090909096</v>
      </c>
      <c r="CA38" s="170">
        <f>+'Info recibida'!CB67/550</f>
        <v>131333.10130909091</v>
      </c>
      <c r="CB38" s="170">
        <f>+'Info recibida'!CC67/550</f>
        <v>169818.54889381817</v>
      </c>
      <c r="CC38" s="170">
        <f>+'Info recibida'!CD67/550</f>
        <v>209458.55990608726</v>
      </c>
      <c r="CD38" s="170">
        <f>+'Info recibida'!CE67/550</f>
        <v>250287.77124872446</v>
      </c>
      <c r="CE38" s="170">
        <f>+'Info recibida'!CF67/550</f>
        <v>257796.40438618622</v>
      </c>
      <c r="CF38" s="218">
        <f>+'Info recibida'!CG67/550</f>
        <v>265530.29651777179</v>
      </c>
      <c r="CG38" s="213">
        <f t="shared" si="9"/>
        <v>1458358.3622616786</v>
      </c>
      <c r="CH38" s="217">
        <f>+'Info recibida'!CH67/550</f>
        <v>0</v>
      </c>
      <c r="CI38" s="170">
        <f>+'Info recibida'!CI67/550</f>
        <v>34545.454545454544</v>
      </c>
      <c r="CJ38" s="170">
        <f>+'Info recibida'!CJ67/550</f>
        <v>70127.272727272721</v>
      </c>
      <c r="CK38" s="170">
        <f>+'Info recibida'!CK67/550</f>
        <v>106776.54545454546</v>
      </c>
      <c r="CL38" s="170">
        <f>+'Info recibida'!CL67/550</f>
        <v>144525.29636363636</v>
      </c>
      <c r="CM38" s="170">
        <f>+'Info recibida'!CM67/550</f>
        <v>183406.5098</v>
      </c>
      <c r="CN38" s="170">
        <f>+'Info recibida'!CN67/550</f>
        <v>223454.15963945456</v>
      </c>
      <c r="CO38" s="170">
        <f>+'Info recibida'!CO67/550</f>
        <v>230157.78442863823</v>
      </c>
      <c r="CP38" s="170">
        <f>+'Info recibida'!CP67/550</f>
        <v>237062.51796149736</v>
      </c>
      <c r="CQ38" s="213">
        <f>+'Info recibida'!CQ67/550</f>
        <v>1230055.540920499</v>
      </c>
      <c r="CR38" s="70"/>
      <c r="CS38" s="220">
        <v>218000</v>
      </c>
      <c r="CT38" s="71" t="s">
        <v>328</v>
      </c>
      <c r="CU38" s="210"/>
      <c r="CV38" s="210"/>
      <c r="CW38" s="210"/>
      <c r="CX38" s="210"/>
      <c r="CY38" s="221">
        <f>+'Info recibida'!CY67/550</f>
        <v>1012055.540920499</v>
      </c>
      <c r="CZ38" s="222"/>
      <c r="DA38" s="517"/>
    </row>
    <row r="39" spans="2:105" ht="26.1" customHeight="1" x14ac:dyDescent="0.25">
      <c r="B39" s="204" t="s">
        <v>16</v>
      </c>
      <c r="C39" s="205" t="s">
        <v>357</v>
      </c>
      <c r="D39" s="47" t="s">
        <v>4</v>
      </c>
      <c r="E39" s="50" t="s">
        <v>405</v>
      </c>
      <c r="F39" s="48" t="s">
        <v>397</v>
      </c>
      <c r="G39" s="48" t="s">
        <v>104</v>
      </c>
      <c r="H39" s="49"/>
      <c r="I39" s="49" t="s">
        <v>232</v>
      </c>
      <c r="J39" s="206"/>
      <c r="K39" s="207"/>
      <c r="L39" s="208"/>
      <c r="N39" s="204" t="s">
        <v>437</v>
      </c>
      <c r="O39" s="47" t="s">
        <v>438</v>
      </c>
      <c r="P39" s="48" t="s">
        <v>393</v>
      </c>
      <c r="Q39" s="48" t="s">
        <v>314</v>
      </c>
      <c r="R39" s="48" t="s">
        <v>314</v>
      </c>
      <c r="S39" s="48" t="s">
        <v>314</v>
      </c>
      <c r="T39" s="48" t="s">
        <v>314</v>
      </c>
      <c r="U39" s="48" t="s">
        <v>314</v>
      </c>
      <c r="V39" s="48"/>
      <c r="W39" s="48" t="s">
        <v>307</v>
      </c>
      <c r="X39" s="48"/>
      <c r="Y39" s="48"/>
      <c r="Z39" s="48"/>
      <c r="AA39" s="48"/>
      <c r="AB39" s="48" t="s">
        <v>314</v>
      </c>
      <c r="AC39" s="48"/>
      <c r="AD39" s="48"/>
      <c r="AE39" s="209"/>
      <c r="AF39" s="47" t="s">
        <v>315</v>
      </c>
      <c r="AG39" s="210" t="s">
        <v>319</v>
      </c>
      <c r="AH39" s="97" t="s">
        <v>439</v>
      </c>
      <c r="AI39" s="170"/>
      <c r="AJ39" s="170">
        <v>0</v>
      </c>
      <c r="AK39" s="170">
        <v>0</v>
      </c>
      <c r="AL39" s="170">
        <v>0</v>
      </c>
      <c r="AM39" s="170">
        <v>0</v>
      </c>
      <c r="AN39" s="170">
        <v>0</v>
      </c>
      <c r="AO39" s="170">
        <v>0</v>
      </c>
      <c r="AP39" s="170">
        <v>0</v>
      </c>
      <c r="AQ39" s="170">
        <v>0</v>
      </c>
      <c r="AR39" s="170">
        <v>0</v>
      </c>
      <c r="AS39" s="170"/>
      <c r="AT39" s="170"/>
      <c r="AU39" s="170">
        <v>9</v>
      </c>
      <c r="AV39" s="170">
        <v>7</v>
      </c>
      <c r="AW39" s="170">
        <v>0</v>
      </c>
      <c r="AX39" s="170">
        <v>0</v>
      </c>
      <c r="AY39" s="170">
        <v>0</v>
      </c>
      <c r="AZ39" s="170">
        <v>0</v>
      </c>
      <c r="BA39" s="170">
        <v>0</v>
      </c>
      <c r="BB39" s="170">
        <v>0</v>
      </c>
      <c r="BC39" s="170">
        <v>0</v>
      </c>
      <c r="BD39" s="48"/>
      <c r="BE39" s="94"/>
      <c r="BF39" s="206"/>
      <c r="BG39" s="68" t="s">
        <v>349</v>
      </c>
      <c r="BH39" s="48"/>
      <c r="BI39" s="211">
        <f>+'Info recibida'!BJ17/550</f>
        <v>0</v>
      </c>
      <c r="BJ39" s="170">
        <f>+'Info recibida'!BK17/550</f>
        <v>0</v>
      </c>
      <c r="BK39" s="170">
        <f>+'Info recibida'!BL17/550</f>
        <v>0</v>
      </c>
      <c r="BL39" s="170">
        <f>+'Info recibida'!BM17/550</f>
        <v>0</v>
      </c>
      <c r="BM39" s="170">
        <f>+'Info recibida'!BN17/550</f>
        <v>0</v>
      </c>
      <c r="BN39" s="170">
        <f>+'Info recibida'!BO17/550</f>
        <v>0</v>
      </c>
      <c r="BO39" s="170">
        <f>+'Info recibida'!BP17/550</f>
        <v>0</v>
      </c>
      <c r="BP39" s="170">
        <f>+'Info recibida'!BQ17/550</f>
        <v>0</v>
      </c>
      <c r="BQ39" s="170">
        <f>+'Info recibida'!BR17/550</f>
        <v>0</v>
      </c>
      <c r="BR39" s="170">
        <f>+'Info recibida'!BS17/550</f>
        <v>0</v>
      </c>
      <c r="BS39" s="170">
        <f>+'Info recibida'!BT17/550</f>
        <v>0</v>
      </c>
      <c r="BT39" s="48"/>
      <c r="BU39" s="48"/>
      <c r="BV39" s="48"/>
      <c r="BW39" s="243"/>
      <c r="BX39" s="212">
        <f>+'Info recibida'!BY17/550</f>
        <v>367000</v>
      </c>
      <c r="BY39" s="170">
        <f>+'Info recibida'!BZ17/550</f>
        <v>215000</v>
      </c>
      <c r="BZ39" s="170">
        <f>+'Info recibida'!CA17/550</f>
        <v>0</v>
      </c>
      <c r="CA39" s="170">
        <f>+'Info recibida'!CB17/550</f>
        <v>0</v>
      </c>
      <c r="CB39" s="170">
        <f>+'Info recibida'!CC17/550</f>
        <v>0</v>
      </c>
      <c r="CC39" s="170">
        <f>+'Info recibida'!CD17/550</f>
        <v>0</v>
      </c>
      <c r="CD39" s="170">
        <f>+'Info recibida'!CE17/550</f>
        <v>0</v>
      </c>
      <c r="CE39" s="170">
        <f>+'Info recibida'!CF17/550</f>
        <v>0</v>
      </c>
      <c r="CF39" s="218">
        <f>+'Info recibida'!CG17/550</f>
        <v>0</v>
      </c>
      <c r="CG39" s="213">
        <f t="shared" si="9"/>
        <v>582000</v>
      </c>
      <c r="CH39" s="212">
        <f>+'Info recibida'!CH17/550</f>
        <v>367000</v>
      </c>
      <c r="CI39" s="170">
        <f>+'Info recibida'!CI17/550</f>
        <v>215000</v>
      </c>
      <c r="CJ39" s="170">
        <f>+'Info recibida'!CJ17/550</f>
        <v>0</v>
      </c>
      <c r="CK39" s="170">
        <f>+'Info recibida'!CK17/550</f>
        <v>0</v>
      </c>
      <c r="CL39" s="170">
        <f>+'Info recibida'!CL17/550</f>
        <v>0</v>
      </c>
      <c r="CM39" s="170">
        <f>+'Info recibida'!CM17/550</f>
        <v>0</v>
      </c>
      <c r="CN39" s="170">
        <f>+'Info recibida'!CN17/550</f>
        <v>0</v>
      </c>
      <c r="CO39" s="170">
        <f>+'Info recibida'!CO17/550</f>
        <v>0</v>
      </c>
      <c r="CP39" s="170">
        <f>+'Info recibida'!CP17/550</f>
        <v>0</v>
      </c>
      <c r="CQ39" s="213">
        <f>+'Info recibida'!CQ17/550</f>
        <v>582000</v>
      </c>
      <c r="CR39" s="70"/>
      <c r="CS39" s="220">
        <v>582000</v>
      </c>
      <c r="CT39" s="71" t="s">
        <v>337</v>
      </c>
      <c r="CU39" s="210"/>
      <c r="CV39" s="210"/>
      <c r="CW39" s="210"/>
      <c r="CX39" s="210"/>
      <c r="CY39" s="221">
        <f>+'Info recibida'!CY17/550</f>
        <v>0</v>
      </c>
      <c r="CZ39" s="222"/>
      <c r="DA39" s="517"/>
    </row>
    <row r="40" spans="2:105" ht="26.1" customHeight="1" x14ac:dyDescent="0.25">
      <c r="B40" s="237" t="s">
        <v>24</v>
      </c>
      <c r="C40" s="275" t="s">
        <v>355</v>
      </c>
      <c r="D40" s="47" t="s">
        <v>4</v>
      </c>
      <c r="E40" s="48" t="s">
        <v>409</v>
      </c>
      <c r="F40" s="48" t="s">
        <v>25</v>
      </c>
      <c r="G40" s="48" t="s">
        <v>474</v>
      </c>
      <c r="H40" s="49"/>
      <c r="I40" s="49" t="s">
        <v>229</v>
      </c>
      <c r="J40" s="206"/>
      <c r="K40" s="207"/>
      <c r="L40" s="208"/>
      <c r="N40" s="237" t="s">
        <v>390</v>
      </c>
      <c r="O40" s="47" t="s">
        <v>4</v>
      </c>
      <c r="P40" s="48" t="s">
        <v>409</v>
      </c>
      <c r="Q40" s="48" t="s">
        <v>314</v>
      </c>
      <c r="R40" s="48" t="s">
        <v>314</v>
      </c>
      <c r="S40" s="48"/>
      <c r="T40" s="48" t="s">
        <v>314</v>
      </c>
      <c r="U40" s="48"/>
      <c r="V40" s="48"/>
      <c r="W40" s="48" t="s">
        <v>307</v>
      </c>
      <c r="X40" s="48"/>
      <c r="Y40" s="48"/>
      <c r="Z40" s="48"/>
      <c r="AA40" s="48"/>
      <c r="AB40" s="48" t="s">
        <v>314</v>
      </c>
      <c r="AC40" s="48"/>
      <c r="AD40" s="48" t="s">
        <v>314</v>
      </c>
      <c r="AE40" s="208"/>
      <c r="AF40" s="47" t="s">
        <v>315</v>
      </c>
      <c r="AG40" s="266" t="s">
        <v>319</v>
      </c>
      <c r="AH40" s="267" t="s">
        <v>322</v>
      </c>
      <c r="AI40" s="170"/>
      <c r="AJ40" s="170">
        <v>1</v>
      </c>
      <c r="AK40" s="170">
        <v>1</v>
      </c>
      <c r="AL40" s="170">
        <v>1</v>
      </c>
      <c r="AM40" s="170">
        <v>1</v>
      </c>
      <c r="AN40" s="170">
        <v>1</v>
      </c>
      <c r="AO40" s="170">
        <v>1</v>
      </c>
      <c r="AP40" s="170">
        <v>1</v>
      </c>
      <c r="AQ40" s="170">
        <v>1</v>
      </c>
      <c r="AR40" s="170">
        <v>1</v>
      </c>
      <c r="AS40" s="170"/>
      <c r="AT40" s="170"/>
      <c r="AU40" s="170">
        <v>1</v>
      </c>
      <c r="AV40" s="170">
        <v>1</v>
      </c>
      <c r="AW40" s="170">
        <v>1</v>
      </c>
      <c r="AX40" s="170">
        <v>1</v>
      </c>
      <c r="AY40" s="170">
        <v>1</v>
      </c>
      <c r="AZ40" s="170">
        <v>1</v>
      </c>
      <c r="BA40" s="170">
        <v>1</v>
      </c>
      <c r="BB40" s="170">
        <v>1</v>
      </c>
      <c r="BC40" s="170">
        <v>1</v>
      </c>
      <c r="BD40" s="170"/>
      <c r="BE40" s="260"/>
      <c r="BF40" s="268" t="s">
        <v>4</v>
      </c>
      <c r="BG40" s="68" t="s">
        <v>312</v>
      </c>
      <c r="BH40" s="48" t="s">
        <v>323</v>
      </c>
      <c r="BI40" s="252">
        <f>+'Info recibida'!BJ27/550</f>
        <v>36363.63636363636</v>
      </c>
      <c r="BJ40" s="170">
        <f>+'Info recibida'!BK27/550</f>
        <v>36363.63636363636</v>
      </c>
      <c r="BK40" s="170">
        <f>+'Info recibida'!BL27/550</f>
        <v>45454.545454545456</v>
      </c>
      <c r="BL40" s="170">
        <f>+'Info recibida'!BM27/550</f>
        <v>54545.454545454544</v>
      </c>
      <c r="BM40" s="170">
        <f>+'Info recibida'!BN27/550</f>
        <v>54545.454545454544</v>
      </c>
      <c r="BN40" s="170">
        <f>+'Info recibida'!BO27/550</f>
        <v>54545.454545454544</v>
      </c>
      <c r="BO40" s="170">
        <f>+'Info recibida'!BP27/550</f>
        <v>63636.36363636364</v>
      </c>
      <c r="BP40" s="170">
        <f>+'Info recibida'!BQ27/550</f>
        <v>63636.36363636364</v>
      </c>
      <c r="BQ40" s="170">
        <f>+'Info recibida'!BR27/550</f>
        <v>81818.181818181823</v>
      </c>
      <c r="BR40" s="170">
        <f>+'Info recibida'!BS27/550</f>
        <v>81818.181818181823</v>
      </c>
      <c r="BS40" s="170">
        <f>+'Info recibida'!BT27/550</f>
        <v>536363.63636363635</v>
      </c>
      <c r="BT40" s="215">
        <v>1</v>
      </c>
      <c r="BU40" s="48" t="s">
        <v>324</v>
      </c>
      <c r="BV40" s="48"/>
      <c r="BW40" s="243"/>
      <c r="BX40" s="212">
        <f>+'Info recibida'!BY27/550</f>
        <v>72727.272727272721</v>
      </c>
      <c r="BY40" s="170">
        <f>+'Info recibida'!BZ27/550</f>
        <v>90909.090909090912</v>
      </c>
      <c r="BZ40" s="170">
        <f>+'Info recibida'!CA27/550</f>
        <v>109090.90909090909</v>
      </c>
      <c r="CA40" s="170">
        <f>+'Info recibida'!CB27/550</f>
        <v>109090.90909090909</v>
      </c>
      <c r="CB40" s="170">
        <f>+'Info recibida'!CC27/550</f>
        <v>109090.90909090909</v>
      </c>
      <c r="CC40" s="170">
        <f>+'Info recibida'!CD27/550</f>
        <v>127272.72727272728</v>
      </c>
      <c r="CD40" s="170">
        <f>+'Info recibida'!CE27/550</f>
        <v>127272.72727272728</v>
      </c>
      <c r="CE40" s="170">
        <f>+'Info recibida'!CF27/550</f>
        <v>163636.36363636365</v>
      </c>
      <c r="CF40" s="218">
        <f>+'Info recibida'!CG27/550</f>
        <v>163636.36363636365</v>
      </c>
      <c r="CG40" s="213">
        <f t="shared" si="9"/>
        <v>1072727.2727272727</v>
      </c>
      <c r="CH40" s="217">
        <f>+'Info recibida'!CH27/550</f>
        <v>36363.63636363636</v>
      </c>
      <c r="CI40" s="170">
        <f>+'Info recibida'!CI27/550</f>
        <v>45454.545454545456</v>
      </c>
      <c r="CJ40" s="170">
        <f>+'Info recibida'!CJ27/550</f>
        <v>54545.454545454544</v>
      </c>
      <c r="CK40" s="170">
        <f>+'Info recibida'!CK27/550</f>
        <v>54545.454545454544</v>
      </c>
      <c r="CL40" s="170">
        <f>+'Info recibida'!CL27/550</f>
        <v>54545.454545454544</v>
      </c>
      <c r="CM40" s="170">
        <f>+'Info recibida'!CM27/550</f>
        <v>63636.36363636364</v>
      </c>
      <c r="CN40" s="170">
        <f>+'Info recibida'!CN27/550</f>
        <v>63636.36363636364</v>
      </c>
      <c r="CO40" s="170">
        <f>+'Info recibida'!CO27/550</f>
        <v>81818.181818181823</v>
      </c>
      <c r="CP40" s="170">
        <f>+'Info recibida'!CP27/550</f>
        <v>81818.181818181823</v>
      </c>
      <c r="CQ40" s="213">
        <f>+'Info recibida'!CQ27/550</f>
        <v>536363.63636363635</v>
      </c>
      <c r="CR40" s="70"/>
      <c r="CS40" s="71"/>
      <c r="CT40" s="71"/>
      <c r="CU40" s="210"/>
      <c r="CV40" s="210"/>
      <c r="CW40" s="210"/>
      <c r="CX40" s="210"/>
      <c r="CY40" s="221">
        <f>+'Info recibida'!CY27/550</f>
        <v>536363.63636363635</v>
      </c>
      <c r="CZ40" s="222"/>
      <c r="DA40" s="517"/>
    </row>
    <row r="41" spans="2:105" ht="26.1" customHeight="1" x14ac:dyDescent="0.25">
      <c r="B41" s="204"/>
      <c r="C41" s="205"/>
      <c r="D41" s="47" t="s">
        <v>4</v>
      </c>
      <c r="E41" s="48" t="s">
        <v>409</v>
      </c>
      <c r="F41" s="48" t="s">
        <v>25</v>
      </c>
      <c r="G41" s="48" t="s">
        <v>474</v>
      </c>
      <c r="H41" s="49"/>
      <c r="I41" s="49" t="s">
        <v>229</v>
      </c>
      <c r="J41" s="206"/>
      <c r="K41" s="207"/>
      <c r="L41" s="208"/>
      <c r="N41" s="237" t="s">
        <v>391</v>
      </c>
      <c r="O41" s="47" t="s">
        <v>4</v>
      </c>
      <c r="P41" s="48" t="s">
        <v>409</v>
      </c>
      <c r="Q41" s="48" t="s">
        <v>314</v>
      </c>
      <c r="R41" s="48"/>
      <c r="S41" s="48"/>
      <c r="T41" s="48"/>
      <c r="U41" s="48"/>
      <c r="V41" s="48"/>
      <c r="W41" s="48" t="s">
        <v>307</v>
      </c>
      <c r="X41" s="48"/>
      <c r="Y41" s="48"/>
      <c r="Z41" s="48"/>
      <c r="AA41" s="48"/>
      <c r="AB41" s="48" t="s">
        <v>314</v>
      </c>
      <c r="AC41" s="48"/>
      <c r="AD41" s="48" t="s">
        <v>314</v>
      </c>
      <c r="AE41" s="208"/>
      <c r="AF41" s="47" t="s">
        <v>315</v>
      </c>
      <c r="AG41" s="266" t="s">
        <v>319</v>
      </c>
      <c r="AH41" s="267" t="s">
        <v>325</v>
      </c>
      <c r="AI41" s="170">
        <v>72</v>
      </c>
      <c r="AJ41" s="170">
        <v>38</v>
      </c>
      <c r="AK41" s="170">
        <v>40</v>
      </c>
      <c r="AL41" s="170">
        <v>45</v>
      </c>
      <c r="AM41" s="170">
        <v>50</v>
      </c>
      <c r="AN41" s="170">
        <v>55</v>
      </c>
      <c r="AO41" s="170">
        <v>72</v>
      </c>
      <c r="AP41" s="170">
        <v>75</v>
      </c>
      <c r="AQ41" s="170">
        <v>75</v>
      </c>
      <c r="AR41" s="170">
        <v>80</v>
      </c>
      <c r="AS41" s="170">
        <v>90</v>
      </c>
      <c r="AT41" s="170">
        <v>100</v>
      </c>
      <c r="AU41" s="170">
        <v>72</v>
      </c>
      <c r="AV41" s="170">
        <v>72</v>
      </c>
      <c r="AW41" s="170">
        <v>72</v>
      </c>
      <c r="AX41" s="170">
        <v>72</v>
      </c>
      <c r="AY41" s="170">
        <v>75</v>
      </c>
      <c r="AZ41" s="170">
        <v>75</v>
      </c>
      <c r="BA41" s="170">
        <v>75</v>
      </c>
      <c r="BB41" s="170">
        <v>80</v>
      </c>
      <c r="BC41" s="170">
        <v>80</v>
      </c>
      <c r="BD41" s="170">
        <v>90</v>
      </c>
      <c r="BE41" s="260">
        <v>100</v>
      </c>
      <c r="BF41" s="268"/>
      <c r="BG41" s="68" t="s">
        <v>312</v>
      </c>
      <c r="BH41" s="48" t="s">
        <v>323</v>
      </c>
      <c r="BI41" s="211">
        <f>+'Info recibida'!BJ28/550</f>
        <v>0</v>
      </c>
      <c r="BJ41" s="170">
        <f>+'Info recibida'!BK28/550</f>
        <v>54574.545454545456</v>
      </c>
      <c r="BK41" s="170">
        <f>+'Info recibida'!BL28/550</f>
        <v>55236.36363636364</v>
      </c>
      <c r="BL41" s="170">
        <f>+'Info recibida'!BM28/550</f>
        <v>56890.909090909088</v>
      </c>
      <c r="BM41" s="170">
        <f>+'Info recibida'!BN28/550</f>
        <v>117890.90909090909</v>
      </c>
      <c r="BN41" s="170">
        <f>+'Info recibida'!BO28/550</f>
        <v>60200</v>
      </c>
      <c r="BO41" s="170">
        <f>+'Info recibida'!BP28/550</f>
        <v>65825.454545454544</v>
      </c>
      <c r="BP41" s="170">
        <f>+'Info recibida'!BQ28/550</f>
        <v>142854.54545454544</v>
      </c>
      <c r="BQ41" s="170">
        <f>+'Info recibida'!BR28/550</f>
        <v>66818.181818181823</v>
      </c>
      <c r="BR41" s="170">
        <f>+'Info recibida'!BS28/550</f>
        <v>155018.18181818182</v>
      </c>
      <c r="BS41" s="170">
        <f>+'Info recibida'!BT28/550</f>
        <v>775309.09090909094</v>
      </c>
      <c r="BT41" s="308">
        <v>1</v>
      </c>
      <c r="BU41" s="48"/>
      <c r="BV41" s="48"/>
      <c r="BW41" s="243"/>
      <c r="BX41" s="212">
        <f>+'Info recibida'!BY28/550</f>
        <v>92007.272727272721</v>
      </c>
      <c r="BY41" s="170">
        <f>+'Info recibida'!BZ28/550</f>
        <v>92007.272727272721</v>
      </c>
      <c r="BZ41" s="170">
        <f>+'Info recibida'!CA28/550</f>
        <v>92007.272727272721</v>
      </c>
      <c r="CA41" s="170">
        <f>+'Info recibida'!CB28/550</f>
        <v>167672.72727272726</v>
      </c>
      <c r="CB41" s="170">
        <f>+'Info recibida'!CC28/550</f>
        <v>93000</v>
      </c>
      <c r="CC41" s="170">
        <f>+'Info recibida'!CD28/550</f>
        <v>93000</v>
      </c>
      <c r="CD41" s="170">
        <f>+'Info recibida'!CE28/550</f>
        <v>197596.36363636365</v>
      </c>
      <c r="CE41" s="170">
        <f>+'Info recibida'!CF28/550</f>
        <v>94654.545454545456</v>
      </c>
      <c r="CF41" s="218">
        <f>+'Info recibida'!CG28/550</f>
        <v>218290.90909090909</v>
      </c>
      <c r="CG41" s="213">
        <f t="shared" si="9"/>
        <v>1140236.3636363635</v>
      </c>
      <c r="CH41" s="212">
        <f>+'Info recibida'!CH28/550</f>
        <v>37432.727272727272</v>
      </c>
      <c r="CI41" s="170">
        <f>+'Info recibida'!CI28/550</f>
        <v>36770.909090909088</v>
      </c>
      <c r="CJ41" s="170">
        <f>+'Info recibida'!CJ28/550</f>
        <v>35116.36363636364</v>
      </c>
      <c r="CK41" s="170">
        <f>+'Info recibida'!CK28/550</f>
        <v>49781.818181818184</v>
      </c>
      <c r="CL41" s="170">
        <f>+'Info recibida'!CL28/550</f>
        <v>32800</v>
      </c>
      <c r="CM41" s="170">
        <f>+'Info recibida'!CM28/550</f>
        <v>27174.545454545456</v>
      </c>
      <c r="CN41" s="170">
        <f>+'Info recibida'!CN28/550</f>
        <v>54741.818181818184</v>
      </c>
      <c r="CO41" s="170">
        <f>+'Info recibida'!CO28/550</f>
        <v>27836.363636363636</v>
      </c>
      <c r="CP41" s="170">
        <f>+'Info recibida'!CP28/550</f>
        <v>63272.727272727272</v>
      </c>
      <c r="CQ41" s="213">
        <f>+'Info recibida'!CQ28/550</f>
        <v>364927.27272727271</v>
      </c>
      <c r="CR41" s="70"/>
      <c r="CS41" s="220">
        <f>60000+169000</f>
        <v>229000</v>
      </c>
      <c r="CT41" s="220" t="s">
        <v>360</v>
      </c>
      <c r="CU41" s="210"/>
      <c r="CV41" s="210"/>
      <c r="CW41" s="210"/>
      <c r="CX41" s="210"/>
      <c r="CY41" s="221">
        <f>+'Info recibida'!CY28/550</f>
        <v>135927.27272727274</v>
      </c>
      <c r="CZ41" s="222"/>
      <c r="DA41" s="517"/>
    </row>
    <row r="42" spans="2:105" ht="26.1" customHeight="1" x14ac:dyDescent="0.25">
      <c r="B42" s="204" t="s">
        <v>77</v>
      </c>
      <c r="C42" s="205" t="s">
        <v>357</v>
      </c>
      <c r="D42" s="47" t="s">
        <v>4</v>
      </c>
      <c r="E42" s="48" t="s">
        <v>404</v>
      </c>
      <c r="F42" s="48" t="s">
        <v>394</v>
      </c>
      <c r="G42" s="50" t="s">
        <v>128</v>
      </c>
      <c r="H42" s="49"/>
      <c r="I42" s="49" t="s">
        <v>229</v>
      </c>
      <c r="J42" s="206"/>
      <c r="K42" s="207"/>
      <c r="L42" s="208"/>
      <c r="N42" s="204" t="s">
        <v>77</v>
      </c>
      <c r="O42" s="47" t="s">
        <v>4</v>
      </c>
      <c r="P42" s="48" t="s">
        <v>404</v>
      </c>
      <c r="Q42" s="50"/>
      <c r="R42" s="50" t="s">
        <v>314</v>
      </c>
      <c r="S42" s="50"/>
      <c r="T42" s="50"/>
      <c r="U42" s="50"/>
      <c r="V42" s="50"/>
      <c r="W42" s="50" t="s">
        <v>307</v>
      </c>
      <c r="X42" s="50"/>
      <c r="Y42" s="50"/>
      <c r="Z42" s="50"/>
      <c r="AA42" s="50"/>
      <c r="AB42" s="50"/>
      <c r="AC42" s="50" t="s">
        <v>314</v>
      </c>
      <c r="AD42" s="50"/>
      <c r="AE42" s="259"/>
      <c r="AF42" s="47" t="s">
        <v>308</v>
      </c>
      <c r="AG42" s="210" t="s">
        <v>319</v>
      </c>
      <c r="AH42" s="68" t="s">
        <v>387</v>
      </c>
      <c r="AI42" s="342">
        <v>0</v>
      </c>
      <c r="AJ42" s="342">
        <v>0.25</v>
      </c>
      <c r="AK42" s="342">
        <v>0.25</v>
      </c>
      <c r="AL42" s="342">
        <v>0.25</v>
      </c>
      <c r="AM42" s="342">
        <v>0.25</v>
      </c>
      <c r="AN42" s="342">
        <v>0</v>
      </c>
      <c r="AO42" s="342">
        <v>0</v>
      </c>
      <c r="AP42" s="342">
        <v>0</v>
      </c>
      <c r="AQ42" s="342">
        <v>0</v>
      </c>
      <c r="AR42" s="342">
        <v>0</v>
      </c>
      <c r="AS42" s="342"/>
      <c r="AT42" s="342"/>
      <c r="AU42" s="342">
        <v>1</v>
      </c>
      <c r="AV42" s="342">
        <v>2</v>
      </c>
      <c r="AW42" s="342">
        <v>1</v>
      </c>
      <c r="AX42" s="342">
        <v>1</v>
      </c>
      <c r="AY42" s="342">
        <v>0</v>
      </c>
      <c r="AZ42" s="342">
        <v>1</v>
      </c>
      <c r="BA42" s="342">
        <v>0</v>
      </c>
      <c r="BB42" s="342">
        <v>1</v>
      </c>
      <c r="BC42" s="342">
        <v>0</v>
      </c>
      <c r="BD42" s="342"/>
      <c r="BE42" s="343"/>
      <c r="BF42" s="206" t="s">
        <v>4</v>
      </c>
      <c r="BG42" s="68" t="s">
        <v>349</v>
      </c>
      <c r="BH42" s="48" t="s">
        <v>313</v>
      </c>
      <c r="BI42" s="252">
        <f>+'Info recibida'!BJ81/550</f>
        <v>7636.363636363636</v>
      </c>
      <c r="BJ42" s="170">
        <f>+'Info recibida'!BK81/550</f>
        <v>1636.3636363636363</v>
      </c>
      <c r="BK42" s="170">
        <f>+'Info recibida'!BL81/550</f>
        <v>4909.090909090909</v>
      </c>
      <c r="BL42" s="170">
        <f>+'Info recibida'!BM81/550</f>
        <v>1636.3636363636363</v>
      </c>
      <c r="BM42" s="170">
        <f>+'Info recibida'!BN81/550</f>
        <v>1636.3636363636363</v>
      </c>
      <c r="BN42" s="170">
        <f>+'Info recibida'!BO81/550</f>
        <v>0</v>
      </c>
      <c r="BO42" s="170">
        <f>+'Info recibida'!BP81/550</f>
        <v>1636.3636363636363</v>
      </c>
      <c r="BP42" s="170">
        <f>+'Info recibida'!BQ81/550</f>
        <v>0</v>
      </c>
      <c r="BQ42" s="170">
        <f>+'Info recibida'!BR81/550</f>
        <v>1636.3636363636363</v>
      </c>
      <c r="BR42" s="170">
        <f>+'Info recibida'!BS81/550</f>
        <v>0</v>
      </c>
      <c r="BS42" s="170">
        <f>+'Info recibida'!BT81/550</f>
        <v>13090.90909090909</v>
      </c>
      <c r="BT42" s="215">
        <v>0.7</v>
      </c>
      <c r="BU42" s="48"/>
      <c r="BV42" s="215">
        <v>0.3</v>
      </c>
      <c r="BW42" s="243" t="s">
        <v>386</v>
      </c>
      <c r="BX42" s="212">
        <f>+'Info recibida'!BY81/550</f>
        <v>62181.818181818184</v>
      </c>
      <c r="BY42" s="217">
        <f>+'Info recibida'!BZ81/550</f>
        <v>64727.272727272728</v>
      </c>
      <c r="BZ42" s="217">
        <f>+'Info recibida'!CA81/550</f>
        <v>59000</v>
      </c>
      <c r="CA42" s="170">
        <f>+'Info recibida'!CB81/550</f>
        <v>84727.272727272721</v>
      </c>
      <c r="CB42" s="170">
        <f>+'Info recibida'!CC81/550</f>
        <v>0</v>
      </c>
      <c r="CC42" s="170">
        <f>+'Info recibida'!CD81/550</f>
        <v>20727.272727272728</v>
      </c>
      <c r="CD42" s="170">
        <f>+'Info recibida'!CE81/550</f>
        <v>20727.272727272728</v>
      </c>
      <c r="CE42" s="170">
        <f>+'Info recibida'!CF81/550</f>
        <v>20727.272727272728</v>
      </c>
      <c r="CF42" s="218">
        <f>+'Info recibida'!CG81/550</f>
        <v>20727.272727272728</v>
      </c>
      <c r="CG42" s="213">
        <f t="shared" si="9"/>
        <v>353545.45454545447</v>
      </c>
      <c r="CH42" s="217">
        <f>+'Info recibida'!CH81/550</f>
        <v>60545.454545454544</v>
      </c>
      <c r="CI42" s="170">
        <f>+'Info recibida'!CI81/550</f>
        <v>59818.181818181816</v>
      </c>
      <c r="CJ42" s="170">
        <f>+'Info recibida'!CJ81/550</f>
        <v>57363.63636363636</v>
      </c>
      <c r="CK42" s="170">
        <f>+'Info recibida'!CK81/550</f>
        <v>83090.909090909088</v>
      </c>
      <c r="CL42" s="170">
        <f>+'Info recibida'!CL81/550</f>
        <v>0</v>
      </c>
      <c r="CM42" s="170">
        <f>+'Info recibida'!CM81/550</f>
        <v>19090.909090909092</v>
      </c>
      <c r="CN42" s="170">
        <f>+'Info recibida'!CN81/550</f>
        <v>20727.272727272728</v>
      </c>
      <c r="CO42" s="170">
        <f>+'Info recibida'!CO81/550</f>
        <v>19090.909090909092</v>
      </c>
      <c r="CP42" s="170">
        <f>+'Info recibida'!CP81/550</f>
        <v>20727.272727272728</v>
      </c>
      <c r="CQ42" s="213">
        <f>+'Info recibida'!CQ81/550</f>
        <v>340454.54545454547</v>
      </c>
      <c r="CR42" s="70"/>
      <c r="CS42" s="71"/>
      <c r="CT42" s="71"/>
      <c r="CU42" s="210"/>
      <c r="CV42" s="210"/>
      <c r="CW42" s="210"/>
      <c r="CX42" s="210"/>
      <c r="CY42" s="221">
        <f>+'Info recibida'!CY81/550</f>
        <v>340454.54545454547</v>
      </c>
      <c r="CZ42" s="222"/>
      <c r="DA42" s="517"/>
    </row>
    <row r="43" spans="2:105" ht="26.1" customHeight="1" x14ac:dyDescent="0.25">
      <c r="B43" s="204" t="s">
        <v>65</v>
      </c>
      <c r="C43" s="205" t="s">
        <v>357</v>
      </c>
      <c r="D43" s="47" t="s">
        <v>4</v>
      </c>
      <c r="E43" s="48" t="s">
        <v>403</v>
      </c>
      <c r="F43" s="48" t="s">
        <v>393</v>
      </c>
      <c r="G43" s="48" t="s">
        <v>121</v>
      </c>
      <c r="H43" s="49" t="s">
        <v>246</v>
      </c>
      <c r="I43" s="49" t="s">
        <v>235</v>
      </c>
      <c r="J43" s="206"/>
      <c r="K43" s="207"/>
      <c r="L43" s="208"/>
      <c r="N43" s="312" t="s">
        <v>65</v>
      </c>
      <c r="O43" s="313" t="s">
        <v>4</v>
      </c>
      <c r="P43" s="77" t="s">
        <v>403</v>
      </c>
      <c r="Q43" s="77"/>
      <c r="R43" s="77" t="s">
        <v>314</v>
      </c>
      <c r="S43" s="77" t="s">
        <v>314</v>
      </c>
      <c r="T43" s="77" t="s">
        <v>314</v>
      </c>
      <c r="U43" s="77" t="s">
        <v>314</v>
      </c>
      <c r="V43" s="77"/>
      <c r="W43" s="77" t="s">
        <v>307</v>
      </c>
      <c r="X43" s="77"/>
      <c r="Y43" s="77"/>
      <c r="Z43" s="77"/>
      <c r="AA43" s="77"/>
      <c r="AB43" s="77" t="s">
        <v>314</v>
      </c>
      <c r="AC43" s="77"/>
      <c r="AD43" s="77"/>
      <c r="AE43" s="314"/>
      <c r="AF43" s="313" t="s">
        <v>315</v>
      </c>
      <c r="AG43" s="315" t="s">
        <v>319</v>
      </c>
      <c r="AH43" s="316" t="s">
        <v>483</v>
      </c>
      <c r="AI43" s="317">
        <v>1</v>
      </c>
      <c r="AJ43" s="317">
        <v>0</v>
      </c>
      <c r="AK43" s="317">
        <v>0</v>
      </c>
      <c r="AL43" s="317">
        <v>0</v>
      </c>
      <c r="AM43" s="317">
        <v>0</v>
      </c>
      <c r="AN43" s="317">
        <v>0</v>
      </c>
      <c r="AO43" s="317">
        <v>0</v>
      </c>
      <c r="AP43" s="317">
        <v>0</v>
      </c>
      <c r="AQ43" s="317">
        <v>0</v>
      </c>
      <c r="AR43" s="317">
        <v>0</v>
      </c>
      <c r="AS43" s="317"/>
      <c r="AT43" s="317"/>
      <c r="AU43" s="317">
        <v>1</v>
      </c>
      <c r="AV43" s="317">
        <v>0</v>
      </c>
      <c r="AW43" s="317">
        <v>0</v>
      </c>
      <c r="AX43" s="317">
        <v>0</v>
      </c>
      <c r="AY43" s="317">
        <v>0</v>
      </c>
      <c r="AZ43" s="317">
        <v>0</v>
      </c>
      <c r="BA43" s="317">
        <v>0</v>
      </c>
      <c r="BB43" s="317">
        <v>0</v>
      </c>
      <c r="BC43" s="317">
        <v>0</v>
      </c>
      <c r="BD43" s="317"/>
      <c r="BE43" s="318"/>
      <c r="BF43" s="319" t="s">
        <v>330</v>
      </c>
      <c r="BG43" s="68" t="s">
        <v>349</v>
      </c>
      <c r="BH43" s="77" t="s">
        <v>313</v>
      </c>
      <c r="BI43" s="494">
        <f>+'Info recibida'!BJ69/550</f>
        <v>0</v>
      </c>
      <c r="BJ43" s="317">
        <f>+'Info recibida'!BK69/550</f>
        <v>0</v>
      </c>
      <c r="BK43" s="317">
        <f>+'Info recibida'!BL69/550</f>
        <v>0</v>
      </c>
      <c r="BL43" s="317">
        <f>+'Info recibida'!BM69/550</f>
        <v>0</v>
      </c>
      <c r="BM43" s="317">
        <f>+'Info recibida'!BN69/550</f>
        <v>0</v>
      </c>
      <c r="BN43" s="317">
        <f>+'Info recibida'!BO69/550</f>
        <v>0</v>
      </c>
      <c r="BO43" s="317">
        <f>+'Info recibida'!BP69/550</f>
        <v>0</v>
      </c>
      <c r="BP43" s="317">
        <f>+'Info recibida'!BQ69/550</f>
        <v>0</v>
      </c>
      <c r="BQ43" s="317">
        <f>+'Info recibida'!BR69/550</f>
        <v>0</v>
      </c>
      <c r="BR43" s="317">
        <f>+'Info recibida'!BS69/550</f>
        <v>0</v>
      </c>
      <c r="BS43" s="170">
        <f>+'Info recibida'!BT69/550</f>
        <v>0</v>
      </c>
      <c r="BT43" s="77"/>
      <c r="BU43" s="77"/>
      <c r="BV43" s="77"/>
      <c r="BW43" s="323"/>
      <c r="BX43" s="321">
        <f>+'Info recibida'!BY69/550</f>
        <v>75000</v>
      </c>
      <c r="BY43" s="317">
        <f>+'Info recibida'!BZ69/550</f>
        <v>150000</v>
      </c>
      <c r="BZ43" s="317">
        <f>+'Info recibida'!CA69/550</f>
        <v>0</v>
      </c>
      <c r="CA43" s="317">
        <f>+'Info recibida'!CB69/550</f>
        <v>0</v>
      </c>
      <c r="CB43" s="317">
        <f>+'Info recibida'!CC69/550</f>
        <v>0</v>
      </c>
      <c r="CC43" s="317">
        <f>+'Info recibida'!CD69/550</f>
        <v>0</v>
      </c>
      <c r="CD43" s="317">
        <f>+'Info recibida'!CE69/550</f>
        <v>0</v>
      </c>
      <c r="CE43" s="317">
        <f>+'Info recibida'!CF69/550</f>
        <v>0</v>
      </c>
      <c r="CF43" s="501">
        <f>+'Info recibida'!CG69/550</f>
        <v>0</v>
      </c>
      <c r="CG43" s="213">
        <f t="shared" si="9"/>
        <v>225000</v>
      </c>
      <c r="CH43" s="217">
        <f>+'Info recibida'!CH69/550</f>
        <v>75000</v>
      </c>
      <c r="CI43" s="170">
        <f>+'Info recibida'!CI69/550</f>
        <v>150000</v>
      </c>
      <c r="CJ43" s="170">
        <f>+'Info recibida'!CJ69/550</f>
        <v>0</v>
      </c>
      <c r="CK43" s="170">
        <f>+'Info recibida'!CK69/550</f>
        <v>0</v>
      </c>
      <c r="CL43" s="170">
        <f>+'Info recibida'!CL69/550</f>
        <v>0</v>
      </c>
      <c r="CM43" s="170">
        <f>+'Info recibida'!CM69/550</f>
        <v>0</v>
      </c>
      <c r="CN43" s="170">
        <f>+'Info recibida'!CN69/550</f>
        <v>0</v>
      </c>
      <c r="CO43" s="170">
        <f>+'Info recibida'!CO69/550</f>
        <v>0</v>
      </c>
      <c r="CP43" s="170">
        <f>+'Info recibida'!CP69/550</f>
        <v>0</v>
      </c>
      <c r="CQ43" s="213">
        <f>+'Info recibida'!CQ69/550</f>
        <v>225000</v>
      </c>
      <c r="CR43" s="72"/>
      <c r="CS43" s="326">
        <f>150000+75000</f>
        <v>225000</v>
      </c>
      <c r="CT43" s="73" t="s">
        <v>482</v>
      </c>
      <c r="CU43" s="315"/>
      <c r="CV43" s="315"/>
      <c r="CW43" s="315"/>
      <c r="CX43" s="315"/>
      <c r="CY43" s="221">
        <f>+'Info recibida'!CY69/550</f>
        <v>0</v>
      </c>
      <c r="CZ43" s="222"/>
      <c r="DA43" s="517"/>
    </row>
    <row r="44" spans="2:105" ht="26.1" customHeight="1" x14ac:dyDescent="0.25">
      <c r="B44" s="204" t="s">
        <v>31</v>
      </c>
      <c r="C44" s="205" t="s">
        <v>357</v>
      </c>
      <c r="D44" s="47" t="s">
        <v>4</v>
      </c>
      <c r="E44" s="48" t="s">
        <v>407</v>
      </c>
      <c r="F44" s="48" t="s">
        <v>395</v>
      </c>
      <c r="G44" s="50" t="s">
        <v>109</v>
      </c>
      <c r="H44" s="49"/>
      <c r="I44" s="49" t="s">
        <v>229</v>
      </c>
      <c r="J44" s="206"/>
      <c r="K44" s="207"/>
      <c r="L44" s="208"/>
      <c r="N44" s="204" t="s">
        <v>366</v>
      </c>
      <c r="O44" s="47" t="s">
        <v>4</v>
      </c>
      <c r="P44" s="48" t="s">
        <v>407</v>
      </c>
      <c r="Q44" s="50" t="s">
        <v>314</v>
      </c>
      <c r="R44" s="50" t="s">
        <v>314</v>
      </c>
      <c r="S44" s="50"/>
      <c r="T44" s="50" t="s">
        <v>314</v>
      </c>
      <c r="U44" s="50"/>
      <c r="V44" s="50" t="s">
        <v>314</v>
      </c>
      <c r="W44" s="50" t="s">
        <v>307</v>
      </c>
      <c r="X44" s="50"/>
      <c r="Y44" s="50"/>
      <c r="Z44" s="50"/>
      <c r="AA44" s="50"/>
      <c r="AB44" s="50"/>
      <c r="AC44" s="50"/>
      <c r="AD44" s="50"/>
      <c r="AE44" s="259"/>
      <c r="AF44" s="47" t="s">
        <v>315</v>
      </c>
      <c r="AG44" s="210" t="s">
        <v>319</v>
      </c>
      <c r="AH44" s="68" t="s">
        <v>372</v>
      </c>
      <c r="AI44" s="48">
        <v>60</v>
      </c>
      <c r="AJ44" s="48">
        <v>70</v>
      </c>
      <c r="AK44" s="48">
        <v>70</v>
      </c>
      <c r="AL44" s="48">
        <v>70</v>
      </c>
      <c r="AM44" s="48">
        <v>75</v>
      </c>
      <c r="AN44" s="48">
        <v>75</v>
      </c>
      <c r="AO44" s="48">
        <v>75</v>
      </c>
      <c r="AP44" s="48">
        <v>75</v>
      </c>
      <c r="AQ44" s="48">
        <v>80</v>
      </c>
      <c r="AR44" s="48">
        <v>80</v>
      </c>
      <c r="AS44" s="48">
        <v>80</v>
      </c>
      <c r="AT44" s="48">
        <v>80</v>
      </c>
      <c r="AU44" s="48">
        <v>80</v>
      </c>
      <c r="AV44" s="48">
        <v>90</v>
      </c>
      <c r="AW44" s="48">
        <v>90</v>
      </c>
      <c r="AX44" s="48">
        <v>90</v>
      </c>
      <c r="AY44" s="48">
        <v>90</v>
      </c>
      <c r="AZ44" s="48">
        <v>90</v>
      </c>
      <c r="BA44" s="48">
        <v>90</v>
      </c>
      <c r="BB44" s="48">
        <v>90</v>
      </c>
      <c r="BC44" s="48">
        <v>90</v>
      </c>
      <c r="BD44" s="48">
        <v>90</v>
      </c>
      <c r="BE44" s="48">
        <v>90</v>
      </c>
      <c r="BF44" s="206" t="s">
        <v>330</v>
      </c>
      <c r="BG44" s="68" t="s">
        <v>349</v>
      </c>
      <c r="BH44" s="48" t="s">
        <v>323</v>
      </c>
      <c r="BI44" s="252">
        <f>+'Info recibida'!BJ34/550</f>
        <v>160236.14183636365</v>
      </c>
      <c r="BJ44" s="170">
        <f>+'Info recibida'!BK34/550</f>
        <v>160236.14183636365</v>
      </c>
      <c r="BK44" s="170">
        <f>+'Info recibida'!BL34/550</f>
        <v>168247.94892818184</v>
      </c>
      <c r="BL44" s="170">
        <f>+'Info recibida'!BM34/550</f>
        <v>176660.34637459091</v>
      </c>
      <c r="BM44" s="170">
        <f>+'Info recibida'!BN34/550</f>
        <v>185493.36369332045</v>
      </c>
      <c r="BN44" s="170">
        <f>+'Info recibida'!BO34/550</f>
        <v>194768.03187798648</v>
      </c>
      <c r="BO44" s="170">
        <f>+'Info recibida'!BP34/550</f>
        <v>204506.43347188577</v>
      </c>
      <c r="BP44" s="170">
        <f>+'Info recibida'!BQ34/550</f>
        <v>214731.75514548007</v>
      </c>
      <c r="BQ44" s="170">
        <f>+'Info recibida'!BR34/550</f>
        <v>225468.34290275406</v>
      </c>
      <c r="BR44" s="170">
        <f>+'Info recibida'!BS34/550</f>
        <v>236741.76004789176</v>
      </c>
      <c r="BS44" s="170">
        <f>+'Info recibida'!BT34/550</f>
        <v>1766854.1242784548</v>
      </c>
      <c r="BT44" s="170">
        <v>0</v>
      </c>
      <c r="BU44" s="170"/>
      <c r="BV44" s="277">
        <v>1</v>
      </c>
      <c r="BW44" s="213"/>
      <c r="BX44" s="212">
        <f>+'Info recibida'!BY34/550</f>
        <v>176259.75602</v>
      </c>
      <c r="BY44" s="170">
        <f>+'Info recibida'!BZ34/550</f>
        <v>185072.74382100001</v>
      </c>
      <c r="BZ44" s="170">
        <f>+'Info recibida'!CA34/550</f>
        <v>194326.38101205</v>
      </c>
      <c r="CA44" s="170">
        <f>+'Info recibida'!CB34/550</f>
        <v>204042.7000626525</v>
      </c>
      <c r="CB44" s="170">
        <f>+'Info recibida'!CC34/550</f>
        <v>214244.8350657851</v>
      </c>
      <c r="CC44" s="170">
        <f>+'Info recibida'!CD34/550</f>
        <v>224957.07681907437</v>
      </c>
      <c r="CD44" s="170">
        <f>+'Info recibida'!CE34/550</f>
        <v>236204.93066002807</v>
      </c>
      <c r="CE44" s="170">
        <f>+'Info recibida'!CF34/550</f>
        <v>248015.17719302946</v>
      </c>
      <c r="CF44" s="218">
        <f>+'Info recibida'!CG34/550</f>
        <v>260415.93605268095</v>
      </c>
      <c r="CG44" s="213">
        <f t="shared" si="9"/>
        <v>1943539.5367063005</v>
      </c>
      <c r="CH44" s="217">
        <f>+'Info recibida'!CH34/550</f>
        <v>16023.614183636362</v>
      </c>
      <c r="CI44" s="170">
        <f>+'Info recibida'!CI34/550</f>
        <v>16824.794892818198</v>
      </c>
      <c r="CJ44" s="170">
        <f>+'Info recibida'!CJ34/550</f>
        <v>17666.034637459084</v>
      </c>
      <c r="CK44" s="170">
        <f>+'Info recibida'!CK34/550</f>
        <v>18549.33636933205</v>
      </c>
      <c r="CL44" s="170">
        <f>+'Info recibida'!CL34/550</f>
        <v>19476.80318779864</v>
      </c>
      <c r="CM44" s="170">
        <f>+'Info recibida'!CM34/550</f>
        <v>20450.643347188587</v>
      </c>
      <c r="CN44" s="170">
        <f>+'Info recibida'!CN34/550</f>
        <v>21473.175514548013</v>
      </c>
      <c r="CO44" s="170">
        <f>+'Info recibida'!CO34/550</f>
        <v>22546.834290275412</v>
      </c>
      <c r="CP44" s="170">
        <f>+'Info recibida'!CP34/550</f>
        <v>23674.176004789173</v>
      </c>
      <c r="CQ44" s="213">
        <f>+'Info recibida'!CQ34/550</f>
        <v>176685.41242784553</v>
      </c>
      <c r="CR44" s="219"/>
      <c r="CS44" s="220">
        <v>75000</v>
      </c>
      <c r="CT44" s="220" t="s">
        <v>364</v>
      </c>
      <c r="CU44" s="210"/>
      <c r="CV44" s="210"/>
      <c r="CW44" s="210"/>
      <c r="CX44" s="210"/>
      <c r="CY44" s="221">
        <f>+'Info recibida'!CY34/550</f>
        <v>101685.41242784551</v>
      </c>
      <c r="CZ44" s="222"/>
      <c r="DA44" s="517"/>
    </row>
    <row r="45" spans="2:105" ht="26.1" customHeight="1" x14ac:dyDescent="0.25">
      <c r="B45" s="204" t="s">
        <v>85</v>
      </c>
      <c r="C45" s="205" t="s">
        <v>356</v>
      </c>
      <c r="D45" s="47" t="s">
        <v>4</v>
      </c>
      <c r="E45" s="48" t="s">
        <v>404</v>
      </c>
      <c r="F45" s="48" t="s">
        <v>394</v>
      </c>
      <c r="G45" s="48" t="s">
        <v>132</v>
      </c>
      <c r="H45" s="49" t="s">
        <v>245</v>
      </c>
      <c r="I45" s="49" t="s">
        <v>230</v>
      </c>
      <c r="J45" s="206"/>
      <c r="K45" s="207"/>
      <c r="L45" s="208"/>
      <c r="N45" s="204" t="s">
        <v>470</v>
      </c>
      <c r="O45" s="47" t="s">
        <v>4</v>
      </c>
      <c r="P45" s="48" t="s">
        <v>404</v>
      </c>
      <c r="Q45" s="48" t="s">
        <v>314</v>
      </c>
      <c r="R45" s="48" t="s">
        <v>314</v>
      </c>
      <c r="S45" s="48"/>
      <c r="T45" s="48"/>
      <c r="U45" s="48"/>
      <c r="V45" s="48"/>
      <c r="W45" s="48" t="s">
        <v>307</v>
      </c>
      <c r="X45" s="48"/>
      <c r="Y45" s="48"/>
      <c r="Z45" s="48"/>
      <c r="AA45" s="48"/>
      <c r="AB45" s="48"/>
      <c r="AC45" s="48"/>
      <c r="AD45" s="48"/>
      <c r="AE45" s="209"/>
      <c r="AF45" s="47"/>
      <c r="AG45" s="210" t="s">
        <v>319</v>
      </c>
      <c r="AH45" s="68" t="s">
        <v>385</v>
      </c>
      <c r="AI45" s="215">
        <v>0.65</v>
      </c>
      <c r="AJ45" s="215">
        <v>0.1</v>
      </c>
      <c r="AK45" s="215">
        <v>0.1</v>
      </c>
      <c r="AL45" s="215">
        <v>0.1</v>
      </c>
      <c r="AM45" s="215">
        <v>0.1</v>
      </c>
      <c r="AN45" s="215">
        <v>0.1</v>
      </c>
      <c r="AO45" s="215">
        <v>0.1</v>
      </c>
      <c r="AP45" s="215">
        <v>0.1</v>
      </c>
      <c r="AQ45" s="215">
        <v>0.1</v>
      </c>
      <c r="AR45" s="215">
        <v>0.1</v>
      </c>
      <c r="AS45" s="48"/>
      <c r="AT45" s="48"/>
      <c r="AU45" s="215">
        <v>0.4</v>
      </c>
      <c r="AV45" s="215">
        <v>0.5</v>
      </c>
      <c r="AW45" s="215">
        <v>0.6</v>
      </c>
      <c r="AX45" s="215">
        <v>0.8</v>
      </c>
      <c r="AY45" s="215">
        <v>0.9</v>
      </c>
      <c r="AZ45" s="215">
        <v>1</v>
      </c>
      <c r="BA45" s="215">
        <v>1</v>
      </c>
      <c r="BB45" s="215">
        <v>1</v>
      </c>
      <c r="BC45" s="215">
        <v>1</v>
      </c>
      <c r="BD45" s="215">
        <v>1</v>
      </c>
      <c r="BE45" s="215">
        <v>1</v>
      </c>
      <c r="BF45" s="206" t="s">
        <v>311</v>
      </c>
      <c r="BG45" s="68" t="s">
        <v>321</v>
      </c>
      <c r="BH45" s="48" t="s">
        <v>313</v>
      </c>
      <c r="BI45" s="252">
        <f>+'Info recibida'!BJ88/550</f>
        <v>40000</v>
      </c>
      <c r="BJ45" s="170">
        <f>+'Info recibida'!BK88/550</f>
        <v>40000</v>
      </c>
      <c r="BK45" s="170">
        <f>+'Info recibida'!BL88/550</f>
        <v>40000</v>
      </c>
      <c r="BL45" s="170">
        <f>+'Info recibida'!BM88/550</f>
        <v>40000</v>
      </c>
      <c r="BM45" s="170">
        <f>+'Info recibida'!BN88/550</f>
        <v>40000</v>
      </c>
      <c r="BN45" s="170">
        <f>+'Info recibida'!BO88/550</f>
        <v>40000</v>
      </c>
      <c r="BO45" s="170">
        <f>+'Info recibida'!BP88/550</f>
        <v>40000</v>
      </c>
      <c r="BP45" s="170">
        <f>+'Info recibida'!BQ88/550</f>
        <v>40000</v>
      </c>
      <c r="BQ45" s="170">
        <f>+'Info recibida'!BR88/550</f>
        <v>40000</v>
      </c>
      <c r="BR45" s="170">
        <f>+'Info recibida'!BS88/550</f>
        <v>40000</v>
      </c>
      <c r="BS45" s="170">
        <f>+'Info recibida'!BT88/550</f>
        <v>360000</v>
      </c>
      <c r="BT45" s="308">
        <v>1</v>
      </c>
      <c r="BU45" s="48"/>
      <c r="BV45" s="48"/>
      <c r="BW45" s="243"/>
      <c r="BX45" s="212">
        <f>+'Info recibida'!BY88/550</f>
        <v>45454.545454545456</v>
      </c>
      <c r="BY45" s="170">
        <f>+'Info recibida'!BZ88/550</f>
        <v>57272.727272727272</v>
      </c>
      <c r="BZ45" s="170">
        <f>+'Info recibida'!CA88/550</f>
        <v>60000</v>
      </c>
      <c r="CA45" s="170">
        <f>+'Info recibida'!CB88/550</f>
        <v>89090.909090909088</v>
      </c>
      <c r="CB45" s="170">
        <f>+'Info recibida'!CC88/550</f>
        <v>34545.454545454544</v>
      </c>
      <c r="CC45" s="170">
        <f>+'Info recibida'!CD88/550</f>
        <v>34545.454545454544</v>
      </c>
      <c r="CD45" s="170">
        <f>+'Info recibida'!CE88/550</f>
        <v>34545.454545454544</v>
      </c>
      <c r="CE45" s="170">
        <f>+'Info recibida'!CF88/550</f>
        <v>89090.909090909088</v>
      </c>
      <c r="CF45" s="218">
        <f>+'Info recibida'!CG88/550</f>
        <v>34545.454545454544</v>
      </c>
      <c r="CG45" s="213">
        <f t="shared" si="9"/>
        <v>479090.909090909</v>
      </c>
      <c r="CH45" s="217">
        <f>+'Info recibida'!CH88/550</f>
        <v>5454.545454545455</v>
      </c>
      <c r="CI45" s="170">
        <f>+'Info recibida'!CI88/550</f>
        <v>17272.727272727272</v>
      </c>
      <c r="CJ45" s="170">
        <f>+'Info recibida'!CJ88/550</f>
        <v>20000</v>
      </c>
      <c r="CK45" s="170">
        <f>+'Info recibida'!CK88/550</f>
        <v>49090.909090909088</v>
      </c>
      <c r="CL45" s="170">
        <f>+'Info recibida'!CL88/550</f>
        <v>-5454.545454545455</v>
      </c>
      <c r="CM45" s="170">
        <f>+'Info recibida'!CM88/550</f>
        <v>-5454.545454545455</v>
      </c>
      <c r="CN45" s="170">
        <f>+'Info recibida'!CN88/550</f>
        <v>-5454.545454545455</v>
      </c>
      <c r="CO45" s="170">
        <f>+'Info recibida'!CO88/550</f>
        <v>49090.909090909088</v>
      </c>
      <c r="CP45" s="170">
        <f>+'Info recibida'!CP88/550</f>
        <v>-5454.545454545455</v>
      </c>
      <c r="CQ45" s="213">
        <f>+'Info recibida'!CQ88/550</f>
        <v>119090.90909090909</v>
      </c>
      <c r="CR45" s="70"/>
      <c r="CS45" s="71"/>
      <c r="CT45" s="71"/>
      <c r="CU45" s="210"/>
      <c r="CV45" s="210"/>
      <c r="CW45" s="210"/>
      <c r="CX45" s="210"/>
      <c r="CY45" s="221">
        <f>+'Info recibida'!CY88/550</f>
        <v>119090.90909090909</v>
      </c>
      <c r="CZ45" s="222"/>
      <c r="DA45" s="517"/>
    </row>
    <row r="46" spans="2:105" ht="26.1" customHeight="1" x14ac:dyDescent="0.25">
      <c r="B46" s="204" t="s">
        <v>510</v>
      </c>
      <c r="C46" s="205" t="s">
        <v>355</v>
      </c>
      <c r="D46" s="47" t="s">
        <v>4</v>
      </c>
      <c r="E46" s="48" t="s">
        <v>404</v>
      </c>
      <c r="F46" s="48" t="s">
        <v>394</v>
      </c>
      <c r="G46" s="50" t="s">
        <v>115</v>
      </c>
      <c r="H46" s="49"/>
      <c r="I46" s="49" t="s">
        <v>234</v>
      </c>
      <c r="J46" s="206"/>
      <c r="K46" s="207"/>
      <c r="L46" s="208"/>
      <c r="N46" s="204" t="s">
        <v>510</v>
      </c>
      <c r="O46" s="47" t="s">
        <v>4</v>
      </c>
      <c r="P46" s="48" t="s">
        <v>451</v>
      </c>
      <c r="Q46" s="50"/>
      <c r="R46" s="50"/>
      <c r="S46" s="50"/>
      <c r="T46" s="50"/>
      <c r="U46" s="50"/>
      <c r="V46" s="50"/>
      <c r="W46" s="50" t="s">
        <v>307</v>
      </c>
      <c r="X46" s="50"/>
      <c r="Y46" s="50"/>
      <c r="Z46" s="50"/>
      <c r="AA46" s="50"/>
      <c r="AB46" s="50"/>
      <c r="AC46" s="50"/>
      <c r="AD46" s="50"/>
      <c r="AE46" s="259"/>
      <c r="AF46" s="47" t="s">
        <v>308</v>
      </c>
      <c r="AG46" s="210" t="s">
        <v>309</v>
      </c>
      <c r="AH46" s="267" t="s">
        <v>310</v>
      </c>
      <c r="AI46" s="215">
        <v>0.3</v>
      </c>
      <c r="AJ46" s="170">
        <v>1</v>
      </c>
      <c r="AK46" s="170">
        <v>1</v>
      </c>
      <c r="AL46" s="170">
        <v>1</v>
      </c>
      <c r="AM46" s="170">
        <v>1</v>
      </c>
      <c r="AN46" s="170">
        <v>1</v>
      </c>
      <c r="AO46" s="170">
        <v>1</v>
      </c>
      <c r="AP46" s="170">
        <v>1</v>
      </c>
      <c r="AQ46" s="170">
        <v>1</v>
      </c>
      <c r="AR46" s="170">
        <v>1</v>
      </c>
      <c r="AS46" s="170">
        <v>4</v>
      </c>
      <c r="AT46" s="170">
        <v>10</v>
      </c>
      <c r="AU46" s="170">
        <v>2</v>
      </c>
      <c r="AV46" s="170">
        <v>4</v>
      </c>
      <c r="AW46" s="170">
        <v>5</v>
      </c>
      <c r="AX46" s="170">
        <v>4</v>
      </c>
      <c r="AY46" s="170">
        <v>4</v>
      </c>
      <c r="AZ46" s="170">
        <v>4</v>
      </c>
      <c r="BA46" s="170">
        <v>4</v>
      </c>
      <c r="BB46" s="170">
        <v>4</v>
      </c>
      <c r="BC46" s="170">
        <v>4</v>
      </c>
      <c r="BD46" s="170">
        <v>10</v>
      </c>
      <c r="BE46" s="260">
        <v>20</v>
      </c>
      <c r="BF46" s="206" t="s">
        <v>311</v>
      </c>
      <c r="BG46" s="68" t="s">
        <v>312</v>
      </c>
      <c r="BH46" s="48" t="s">
        <v>313</v>
      </c>
      <c r="BI46" s="252">
        <f>+'Info recibida'!BJ49/550</f>
        <v>54545.454545454544</v>
      </c>
      <c r="BJ46" s="170">
        <f>+'Info recibida'!BK49/550</f>
        <v>38181.818181818184</v>
      </c>
      <c r="BK46" s="170">
        <f>+'Info recibida'!BL49/550</f>
        <v>20000</v>
      </c>
      <c r="BL46" s="170">
        <f>+'Info recibida'!BM49/550</f>
        <v>20000</v>
      </c>
      <c r="BM46" s="170">
        <f>+'Info recibida'!BN49/550</f>
        <v>20000</v>
      </c>
      <c r="BN46" s="170">
        <f>+'Info recibida'!BO49/550</f>
        <v>20000</v>
      </c>
      <c r="BO46" s="170">
        <f>+'Info recibida'!BP49/550</f>
        <v>20000</v>
      </c>
      <c r="BP46" s="170">
        <f>+'Info recibida'!BQ49/550</f>
        <v>20000</v>
      </c>
      <c r="BQ46" s="170">
        <f>+'Info recibida'!BR49/550</f>
        <v>20000</v>
      </c>
      <c r="BR46" s="170">
        <f>+'Info recibida'!BS49/550</f>
        <v>20000</v>
      </c>
      <c r="BS46" s="170">
        <f>+'Info recibida'!BT49/550</f>
        <v>198181.81818181818</v>
      </c>
      <c r="BT46" s="215">
        <v>0.85</v>
      </c>
      <c r="BU46" s="48"/>
      <c r="BV46" s="215">
        <v>0.15</v>
      </c>
      <c r="BW46" s="243" t="s">
        <v>388</v>
      </c>
      <c r="BX46" s="310">
        <f>+'Info recibida'!BY49/550</f>
        <v>25454.545454545456</v>
      </c>
      <c r="BY46" s="311">
        <f>+'Info recibida'!BZ49/550</f>
        <v>27272.727272727272</v>
      </c>
      <c r="BZ46" s="311">
        <f>+'Info recibida'!CA49/550</f>
        <v>44545.454545454544</v>
      </c>
      <c r="CA46" s="170">
        <f>+'Info recibida'!CB49/550</f>
        <v>39090.909090909088</v>
      </c>
      <c r="CB46" s="170">
        <f>+'Info recibida'!CC49/550</f>
        <v>34545.454545454544</v>
      </c>
      <c r="CC46" s="170">
        <f>+'Info recibida'!CD49/550</f>
        <v>34545.454545454544</v>
      </c>
      <c r="CD46" s="170">
        <f>+'Info recibida'!CE49/550</f>
        <v>34545.454545454544</v>
      </c>
      <c r="CE46" s="170">
        <f>+'Info recibida'!CF49/550</f>
        <v>34545.454545454544</v>
      </c>
      <c r="CF46" s="218">
        <f>+'Info recibida'!CG49/550</f>
        <v>34545.454545454544</v>
      </c>
      <c r="CG46" s="213">
        <f t="shared" si="9"/>
        <v>309090.909090909</v>
      </c>
      <c r="CH46" s="212">
        <f>+'Info recibida'!CH49/550</f>
        <v>-12727.272727272728</v>
      </c>
      <c r="CI46" s="170">
        <f>+'Info recibida'!CI49/550</f>
        <v>7272.727272727273</v>
      </c>
      <c r="CJ46" s="170">
        <f>+'Info recibida'!CJ49/550</f>
        <v>24545.454545454544</v>
      </c>
      <c r="CK46" s="170">
        <f>+'Info recibida'!CK49/550</f>
        <v>19090.909090909092</v>
      </c>
      <c r="CL46" s="170">
        <f>+'Info recibida'!CL49/550</f>
        <v>14545.454545454546</v>
      </c>
      <c r="CM46" s="170">
        <f>+'Info recibida'!CM49/550</f>
        <v>14545.454545454546</v>
      </c>
      <c r="CN46" s="170">
        <f>+'Info recibida'!CN49/550</f>
        <v>14545.454545454546</v>
      </c>
      <c r="CO46" s="170">
        <f>+'Info recibida'!CO49/550</f>
        <v>14545.454545454546</v>
      </c>
      <c r="CP46" s="170">
        <f>+'Info recibida'!CP49/550</f>
        <v>14545.454545454546</v>
      </c>
      <c r="CQ46" s="213">
        <f>+'Info recibida'!CQ49/550</f>
        <v>110909.09090909091</v>
      </c>
      <c r="CR46" s="70"/>
      <c r="CS46" s="71"/>
      <c r="CT46" s="71"/>
      <c r="CU46" s="210"/>
      <c r="CV46" s="210"/>
      <c r="CW46" s="210"/>
      <c r="CX46" s="210"/>
      <c r="CY46" s="221">
        <f>+'Info recibida'!CY49/550</f>
        <v>110909.09090909091</v>
      </c>
      <c r="CZ46" s="222"/>
      <c r="DA46" s="517"/>
    </row>
    <row r="47" spans="2:105" ht="26.1" customHeight="1" x14ac:dyDescent="0.25">
      <c r="B47" s="204" t="s">
        <v>17</v>
      </c>
      <c r="C47" s="205" t="s">
        <v>357</v>
      </c>
      <c r="D47" s="47" t="s">
        <v>4</v>
      </c>
      <c r="E47" s="255" t="s">
        <v>403</v>
      </c>
      <c r="F47" s="77" t="s">
        <v>393</v>
      </c>
      <c r="G47" s="48" t="s">
        <v>102</v>
      </c>
      <c r="H47" s="49"/>
      <c r="I47" s="49" t="s">
        <v>233</v>
      </c>
      <c r="J47" s="206"/>
      <c r="K47" s="207"/>
      <c r="L47" s="208"/>
      <c r="N47" s="204" t="s">
        <v>17</v>
      </c>
      <c r="O47" s="47" t="s">
        <v>2</v>
      </c>
      <c r="P47" s="48" t="s">
        <v>403</v>
      </c>
      <c r="Q47" s="48"/>
      <c r="R47" s="48" t="s">
        <v>314</v>
      </c>
      <c r="S47" s="48" t="s">
        <v>314</v>
      </c>
      <c r="T47" s="48"/>
      <c r="U47" s="48" t="s">
        <v>314</v>
      </c>
      <c r="V47" s="48"/>
      <c r="W47" s="48" t="s">
        <v>307</v>
      </c>
      <c r="X47" s="48"/>
      <c r="Y47" s="48"/>
      <c r="Z47" s="48"/>
      <c r="AA47" s="48"/>
      <c r="AB47" s="48" t="s">
        <v>314</v>
      </c>
      <c r="AC47" s="48"/>
      <c r="AD47" s="48"/>
      <c r="AE47" s="209"/>
      <c r="AF47" s="47" t="s">
        <v>315</v>
      </c>
      <c r="AG47" s="210" t="s">
        <v>319</v>
      </c>
      <c r="AH47" s="100" t="s">
        <v>443</v>
      </c>
      <c r="AI47" s="170"/>
      <c r="AJ47" s="170">
        <v>0</v>
      </c>
      <c r="AK47" s="170">
        <v>0</v>
      </c>
      <c r="AL47" s="170">
        <v>0</v>
      </c>
      <c r="AM47" s="170">
        <v>0</v>
      </c>
      <c r="AN47" s="170">
        <v>0</v>
      </c>
      <c r="AO47" s="170">
        <v>0</v>
      </c>
      <c r="AP47" s="170">
        <v>0</v>
      </c>
      <c r="AQ47" s="170">
        <v>0</v>
      </c>
      <c r="AR47" s="170">
        <v>0</v>
      </c>
      <c r="AS47" s="170"/>
      <c r="AT47" s="170"/>
      <c r="AU47" s="170">
        <v>1</v>
      </c>
      <c r="AV47" s="170">
        <v>1</v>
      </c>
      <c r="AW47" s="170">
        <v>1</v>
      </c>
      <c r="AX47" s="170">
        <v>1</v>
      </c>
      <c r="AY47" s="170">
        <v>0</v>
      </c>
      <c r="AZ47" s="170">
        <v>0</v>
      </c>
      <c r="BA47" s="170">
        <v>0</v>
      </c>
      <c r="BB47" s="170">
        <v>0</v>
      </c>
      <c r="BC47" s="170">
        <v>0</v>
      </c>
      <c r="BD47" s="170"/>
      <c r="BE47" s="260"/>
      <c r="BF47" s="206" t="s">
        <v>4</v>
      </c>
      <c r="BG47" s="257" t="s">
        <v>349</v>
      </c>
      <c r="BH47" s="48" t="s">
        <v>313</v>
      </c>
      <c r="BI47" s="211">
        <f>+'Info recibida'!BJ20/550</f>
        <v>0</v>
      </c>
      <c r="BJ47" s="170">
        <f>+'Info recibida'!BK20/550</f>
        <v>0</v>
      </c>
      <c r="BK47" s="170">
        <f>+'Info recibida'!BL20/550</f>
        <v>0</v>
      </c>
      <c r="BL47" s="170">
        <f>+'Info recibida'!BM20/550</f>
        <v>0</v>
      </c>
      <c r="BM47" s="170">
        <f>+'Info recibida'!BN20/550</f>
        <v>0</v>
      </c>
      <c r="BN47" s="170">
        <f>+'Info recibida'!BO20/550</f>
        <v>0</v>
      </c>
      <c r="BO47" s="170">
        <f>+'Info recibida'!BP20/550</f>
        <v>0</v>
      </c>
      <c r="BP47" s="170">
        <f>+'Info recibida'!BQ20/550</f>
        <v>0</v>
      </c>
      <c r="BQ47" s="170">
        <f>+'Info recibida'!BR20/550</f>
        <v>0</v>
      </c>
      <c r="BR47" s="170">
        <f>+'Info recibida'!BS20/550</f>
        <v>0</v>
      </c>
      <c r="BS47" s="170">
        <f>+'Info recibida'!BT20/550</f>
        <v>0</v>
      </c>
      <c r="BT47" s="48"/>
      <c r="BU47" s="48"/>
      <c r="BV47" s="48"/>
      <c r="BW47" s="243"/>
      <c r="BX47" s="212">
        <f>+'Info recibida'!BY20/550</f>
        <v>24000</v>
      </c>
      <c r="BY47" s="170">
        <f>+'Info recibida'!BZ20/550</f>
        <v>24000</v>
      </c>
      <c r="BZ47" s="170">
        <f>+'Info recibida'!CA20/550</f>
        <v>24000</v>
      </c>
      <c r="CA47" s="170">
        <f>+'Info recibida'!CB20/550</f>
        <v>24000</v>
      </c>
      <c r="CB47" s="170">
        <f>+'Info recibida'!CC20/550</f>
        <v>0</v>
      </c>
      <c r="CC47" s="170">
        <f>+'Info recibida'!CD20/550</f>
        <v>0</v>
      </c>
      <c r="CD47" s="170">
        <f>+'Info recibida'!CE20/550</f>
        <v>0</v>
      </c>
      <c r="CE47" s="170">
        <f>+'Info recibida'!CF20/550</f>
        <v>0</v>
      </c>
      <c r="CF47" s="218">
        <f>+'Info recibida'!CG20/550</f>
        <v>0</v>
      </c>
      <c r="CG47" s="213">
        <f t="shared" si="9"/>
        <v>96000</v>
      </c>
      <c r="CH47" s="217">
        <f>+'Info recibida'!CH20/550</f>
        <v>24000</v>
      </c>
      <c r="CI47" s="170">
        <f>+'Info recibida'!CI20/550</f>
        <v>24000</v>
      </c>
      <c r="CJ47" s="170">
        <f>+'Info recibida'!CJ20/550</f>
        <v>24000</v>
      </c>
      <c r="CK47" s="170">
        <f>+'Info recibida'!CK20/550</f>
        <v>24000</v>
      </c>
      <c r="CL47" s="170">
        <f>+'Info recibida'!CL20/550</f>
        <v>0</v>
      </c>
      <c r="CM47" s="170">
        <f>+'Info recibida'!CM20/550</f>
        <v>0</v>
      </c>
      <c r="CN47" s="170">
        <f>+'Info recibida'!CN20/550</f>
        <v>0</v>
      </c>
      <c r="CO47" s="170">
        <f>+'Info recibida'!CO20/550</f>
        <v>0</v>
      </c>
      <c r="CP47" s="170">
        <f>+'Info recibida'!CP20/550</f>
        <v>0</v>
      </c>
      <c r="CQ47" s="213">
        <f>+'Info recibida'!CQ20/550</f>
        <v>96000</v>
      </c>
      <c r="CR47" s="70"/>
      <c r="CS47" s="71"/>
      <c r="CT47" s="71"/>
      <c r="CU47" s="210"/>
      <c r="CV47" s="210"/>
      <c r="CW47" s="210"/>
      <c r="CX47" s="210"/>
      <c r="CY47" s="221">
        <f>+'Info recibida'!CY20/550</f>
        <v>96000</v>
      </c>
      <c r="CZ47" s="222"/>
      <c r="DA47" s="517"/>
    </row>
    <row r="48" spans="2:105" ht="26.1" customHeight="1" x14ac:dyDescent="0.25">
      <c r="B48" s="204" t="s">
        <v>67</v>
      </c>
      <c r="C48" s="205" t="s">
        <v>356</v>
      </c>
      <c r="D48" s="47" t="s">
        <v>4</v>
      </c>
      <c r="E48" s="48" t="s">
        <v>406</v>
      </c>
      <c r="F48" s="48" t="s">
        <v>63</v>
      </c>
      <c r="G48" s="48" t="s">
        <v>122</v>
      </c>
      <c r="H48" s="49"/>
      <c r="I48" s="49" t="s">
        <v>236</v>
      </c>
      <c r="J48" s="206"/>
      <c r="K48" s="207"/>
      <c r="L48" s="208"/>
      <c r="N48" s="204" t="s">
        <v>67</v>
      </c>
      <c r="O48" s="47" t="s">
        <v>4</v>
      </c>
      <c r="P48" s="48" t="s">
        <v>406</v>
      </c>
      <c r="Q48" s="48" t="s">
        <v>314</v>
      </c>
      <c r="R48" s="48" t="s">
        <v>314</v>
      </c>
      <c r="S48" s="48" t="s">
        <v>314</v>
      </c>
      <c r="T48" s="48" t="s">
        <v>314</v>
      </c>
      <c r="U48" s="48"/>
      <c r="V48" s="48"/>
      <c r="W48" s="48" t="s">
        <v>307</v>
      </c>
      <c r="X48" s="48"/>
      <c r="Y48" s="48" t="s">
        <v>314</v>
      </c>
      <c r="Z48" s="48"/>
      <c r="AA48" s="48"/>
      <c r="AB48" s="48"/>
      <c r="AC48" s="48"/>
      <c r="AD48" s="48"/>
      <c r="AE48" s="209"/>
      <c r="AF48" s="47" t="s">
        <v>308</v>
      </c>
      <c r="AG48" s="210" t="s">
        <v>309</v>
      </c>
      <c r="AH48" s="267" t="s">
        <v>331</v>
      </c>
      <c r="AI48" s="170">
        <v>0</v>
      </c>
      <c r="AJ48" s="170">
        <v>52</v>
      </c>
      <c r="AK48" s="170">
        <v>52</v>
      </c>
      <c r="AL48" s="170">
        <v>52</v>
      </c>
      <c r="AM48" s="170">
        <v>52</v>
      </c>
      <c r="AN48" s="170">
        <v>52</v>
      </c>
      <c r="AO48" s="170">
        <v>52</v>
      </c>
      <c r="AP48" s="170">
        <v>52</v>
      </c>
      <c r="AQ48" s="170">
        <v>52</v>
      </c>
      <c r="AR48" s="170">
        <v>52</v>
      </c>
      <c r="AS48" s="170"/>
      <c r="AT48" s="170"/>
      <c r="AU48" s="170">
        <f t="shared" ref="AU48:BC48" si="10">+AJ48*2</f>
        <v>104</v>
      </c>
      <c r="AV48" s="170">
        <f t="shared" si="10"/>
        <v>104</v>
      </c>
      <c r="AW48" s="170">
        <f t="shared" si="10"/>
        <v>104</v>
      </c>
      <c r="AX48" s="170">
        <f t="shared" si="10"/>
        <v>104</v>
      </c>
      <c r="AY48" s="170">
        <f t="shared" si="10"/>
        <v>104</v>
      </c>
      <c r="AZ48" s="170">
        <f t="shared" si="10"/>
        <v>104</v>
      </c>
      <c r="BA48" s="170">
        <f t="shared" si="10"/>
        <v>104</v>
      </c>
      <c r="BB48" s="170">
        <f t="shared" si="10"/>
        <v>104</v>
      </c>
      <c r="BC48" s="170">
        <f t="shared" si="10"/>
        <v>104</v>
      </c>
      <c r="BD48" s="170"/>
      <c r="BE48" s="260"/>
      <c r="BF48" s="206" t="s">
        <v>4</v>
      </c>
      <c r="BG48" s="68" t="s">
        <v>321</v>
      </c>
      <c r="BH48" s="48" t="s">
        <v>323</v>
      </c>
      <c r="BI48" s="211">
        <f>+'Info recibida'!BJ71/550</f>
        <v>0</v>
      </c>
      <c r="BJ48" s="170">
        <f>+'Info recibida'!BK71/550</f>
        <v>9454.545454545454</v>
      </c>
      <c r="BK48" s="170">
        <f>+'Info recibida'!BL71/550</f>
        <v>9454.545454545454</v>
      </c>
      <c r="BL48" s="170">
        <f>+'Info recibida'!BM71/550</f>
        <v>9454.545454545454</v>
      </c>
      <c r="BM48" s="170">
        <f>+'Info recibida'!BN71/550</f>
        <v>9454.545454545454</v>
      </c>
      <c r="BN48" s="170">
        <f>+'Info recibida'!BO71/550</f>
        <v>9454.545454545454</v>
      </c>
      <c r="BO48" s="170">
        <f>+'Info recibida'!BP71/550</f>
        <v>9454.545454545454</v>
      </c>
      <c r="BP48" s="170">
        <f>+'Info recibida'!BQ71/550</f>
        <v>9454.545454545454</v>
      </c>
      <c r="BQ48" s="170">
        <f>+'Info recibida'!BR71/550</f>
        <v>9454.545454545454</v>
      </c>
      <c r="BR48" s="170">
        <f>+'Info recibida'!BS71/550</f>
        <v>9454.545454545454</v>
      </c>
      <c r="BS48" s="170">
        <f>+'Info recibida'!BT71/550</f>
        <v>85090.909090909088</v>
      </c>
      <c r="BT48" s="308">
        <v>1</v>
      </c>
      <c r="BU48" s="48"/>
      <c r="BV48" s="48"/>
      <c r="BW48" s="243"/>
      <c r="BX48" s="212">
        <f>+'Info recibida'!BY71/550</f>
        <v>18909.090909090908</v>
      </c>
      <c r="BY48" s="170">
        <f>+'Info recibida'!BZ71/550</f>
        <v>18909.090909090908</v>
      </c>
      <c r="BZ48" s="170">
        <f>+'Info recibida'!CA71/550</f>
        <v>18909.090909090908</v>
      </c>
      <c r="CA48" s="170">
        <f>+'Info recibida'!CB71/550</f>
        <v>18909.090909090908</v>
      </c>
      <c r="CB48" s="170">
        <f>+'Info recibida'!CC71/550</f>
        <v>18909.090909090908</v>
      </c>
      <c r="CC48" s="170">
        <f>+'Info recibida'!CD71/550</f>
        <v>18909.090909090908</v>
      </c>
      <c r="CD48" s="170">
        <f>+'Info recibida'!CE71/550</f>
        <v>18909.090909090908</v>
      </c>
      <c r="CE48" s="170">
        <f>+'Info recibida'!CF71/550</f>
        <v>18909.090909090908</v>
      </c>
      <c r="CF48" s="218">
        <f>+'Info recibida'!CG71/550</f>
        <v>18909.090909090908</v>
      </c>
      <c r="CG48" s="213">
        <f t="shared" si="9"/>
        <v>170181.81818181818</v>
      </c>
      <c r="CH48" s="217">
        <f>+'Info recibida'!CH71/550</f>
        <v>9454.545454545454</v>
      </c>
      <c r="CI48" s="170">
        <f>+'Info recibida'!CI71/550</f>
        <v>9454.545454545454</v>
      </c>
      <c r="CJ48" s="170">
        <f>+'Info recibida'!CJ71/550</f>
        <v>9454.545454545454</v>
      </c>
      <c r="CK48" s="170">
        <f>+'Info recibida'!CK71/550</f>
        <v>9454.545454545454</v>
      </c>
      <c r="CL48" s="170">
        <f>+'Info recibida'!CL71/550</f>
        <v>9454.545454545454</v>
      </c>
      <c r="CM48" s="170">
        <f>+'Info recibida'!CM71/550</f>
        <v>9454.545454545454</v>
      </c>
      <c r="CN48" s="170">
        <f>+'Info recibida'!CN71/550</f>
        <v>9454.545454545454</v>
      </c>
      <c r="CO48" s="170">
        <f>+'Info recibida'!CO71/550</f>
        <v>9454.545454545454</v>
      </c>
      <c r="CP48" s="170">
        <f>+'Info recibida'!CP71/550</f>
        <v>9454.545454545454</v>
      </c>
      <c r="CQ48" s="213">
        <f>+'Info recibida'!CQ71/550</f>
        <v>85090.909090909088</v>
      </c>
      <c r="CR48" s="70"/>
      <c r="CS48" s="220">
        <v>76000</v>
      </c>
      <c r="CT48" s="71" t="s">
        <v>332</v>
      </c>
      <c r="CU48" s="210"/>
      <c r="CV48" s="210"/>
      <c r="CW48" s="210"/>
      <c r="CX48" s="210"/>
      <c r="CY48" s="221">
        <f>+'Info recibida'!CY71/550</f>
        <v>9090.9090909090901</v>
      </c>
      <c r="CZ48" s="222"/>
      <c r="DA48" s="517"/>
    </row>
    <row r="49" spans="2:112" ht="26.1" customHeight="1" x14ac:dyDescent="0.25">
      <c r="B49" s="237" t="s">
        <v>64</v>
      </c>
      <c r="C49" s="275" t="s">
        <v>357</v>
      </c>
      <c r="D49" s="47" t="s">
        <v>4</v>
      </c>
      <c r="E49" s="48" t="s">
        <v>406</v>
      </c>
      <c r="F49" s="48" t="s">
        <v>63</v>
      </c>
      <c r="G49" s="48" t="s">
        <v>120</v>
      </c>
      <c r="H49" s="49"/>
      <c r="I49" s="49" t="s">
        <v>221</v>
      </c>
      <c r="J49" s="206"/>
      <c r="K49" s="207"/>
      <c r="L49" s="208"/>
      <c r="N49" s="237" t="s">
        <v>64</v>
      </c>
      <c r="O49" s="47" t="s">
        <v>4</v>
      </c>
      <c r="P49" s="48" t="s">
        <v>406</v>
      </c>
      <c r="Q49" s="48" t="s">
        <v>314</v>
      </c>
      <c r="R49" s="48" t="s">
        <v>314</v>
      </c>
      <c r="S49" s="48" t="s">
        <v>314</v>
      </c>
      <c r="T49" s="48"/>
      <c r="U49" s="48"/>
      <c r="V49" s="48"/>
      <c r="W49" s="48" t="s">
        <v>307</v>
      </c>
      <c r="X49" s="48"/>
      <c r="Y49" s="48"/>
      <c r="Z49" s="48"/>
      <c r="AA49" s="48"/>
      <c r="AB49" s="48" t="s">
        <v>314</v>
      </c>
      <c r="AC49" s="48"/>
      <c r="AD49" s="48" t="s">
        <v>314</v>
      </c>
      <c r="AE49" s="209"/>
      <c r="AF49" s="47" t="s">
        <v>315</v>
      </c>
      <c r="AG49" s="210" t="s">
        <v>309</v>
      </c>
      <c r="AH49" s="68" t="s">
        <v>329</v>
      </c>
      <c r="AI49" s="170">
        <v>50</v>
      </c>
      <c r="AJ49" s="170">
        <v>1</v>
      </c>
      <c r="AK49" s="170">
        <v>1</v>
      </c>
      <c r="AL49" s="170">
        <v>1</v>
      </c>
      <c r="AM49" s="170">
        <v>1</v>
      </c>
      <c r="AN49" s="170">
        <v>1</v>
      </c>
      <c r="AO49" s="170">
        <v>1</v>
      </c>
      <c r="AP49" s="170">
        <v>1</v>
      </c>
      <c r="AQ49" s="170">
        <v>1</v>
      </c>
      <c r="AR49" s="170">
        <v>1</v>
      </c>
      <c r="AS49" s="170"/>
      <c r="AT49" s="170"/>
      <c r="AU49" s="170">
        <v>2</v>
      </c>
      <c r="AV49" s="170">
        <v>3</v>
      </c>
      <c r="AW49" s="170">
        <v>2</v>
      </c>
      <c r="AX49" s="170">
        <v>3</v>
      </c>
      <c r="AY49" s="170">
        <v>2</v>
      </c>
      <c r="AZ49" s="170">
        <v>3</v>
      </c>
      <c r="BA49" s="170">
        <v>2</v>
      </c>
      <c r="BB49" s="170">
        <v>3</v>
      </c>
      <c r="BC49" s="170">
        <v>2</v>
      </c>
      <c r="BD49" s="170"/>
      <c r="BE49" s="260"/>
      <c r="BF49" s="206" t="s">
        <v>330</v>
      </c>
      <c r="BG49" s="68" t="s">
        <v>349</v>
      </c>
      <c r="BH49" s="48" t="s">
        <v>313</v>
      </c>
      <c r="BI49" s="252">
        <f>+'Info recibida'!BJ68/550</f>
        <v>0</v>
      </c>
      <c r="BJ49" s="170">
        <f>+'Info recibida'!BK68/550</f>
        <v>6909.090909090909</v>
      </c>
      <c r="BK49" s="170">
        <f>+'Info recibida'!BL68/550</f>
        <v>7116.363636363636</v>
      </c>
      <c r="BL49" s="170">
        <f>+'Info recibida'!BM68/550</f>
        <v>7329.8545454545456</v>
      </c>
      <c r="BM49" s="170">
        <f>+'Info recibida'!BN68/550</f>
        <v>7549.7501818181818</v>
      </c>
      <c r="BN49" s="170">
        <f>+'Info recibida'!BO68/550</f>
        <v>7776.2426872727274</v>
      </c>
      <c r="BO49" s="170">
        <f>+'Info recibida'!BP68/550</f>
        <v>8009.5299678909105</v>
      </c>
      <c r="BP49" s="170">
        <f>+'Info recibida'!BQ68/550</f>
        <v>8249.8158669276381</v>
      </c>
      <c r="BQ49" s="170">
        <f>+'Info recibida'!BR68/550</f>
        <v>8497.3103429354669</v>
      </c>
      <c r="BR49" s="170">
        <f>+'Info recibida'!BS68/550</f>
        <v>8752.2296532235305</v>
      </c>
      <c r="BS49" s="170">
        <f>+'Info recibida'!BT68/550</f>
        <v>70190.187790977565</v>
      </c>
      <c r="BT49" s="215">
        <v>1</v>
      </c>
      <c r="BU49" s="48"/>
      <c r="BV49" s="48"/>
      <c r="BW49" s="243"/>
      <c r="BX49" s="212">
        <f>+'Info recibida'!BY68/550</f>
        <v>14000</v>
      </c>
      <c r="BY49" s="170">
        <f>+'Info recibida'!BZ68/550</f>
        <v>14420</v>
      </c>
      <c r="BZ49" s="170">
        <f>+'Info recibida'!CA68/550</f>
        <v>14852.6</v>
      </c>
      <c r="CA49" s="170">
        <f>+'Info recibida'!CB68/550</f>
        <v>15298.178</v>
      </c>
      <c r="CB49" s="170">
        <f>+'Info recibida'!CC68/550</f>
        <v>15757.123340000002</v>
      </c>
      <c r="CC49" s="170">
        <f>+'Info recibida'!CD68/550</f>
        <v>16229.837040200004</v>
      </c>
      <c r="CD49" s="170">
        <f>+'Info recibida'!CE68/550</f>
        <v>16716.732151406006</v>
      </c>
      <c r="CE49" s="170">
        <f>+'Info recibida'!CF68/550</f>
        <v>17218.234115948188</v>
      </c>
      <c r="CF49" s="218">
        <f>+'Info recibida'!CG68/550</f>
        <v>17734.781139426632</v>
      </c>
      <c r="CG49" s="213">
        <f t="shared" si="9"/>
        <v>142227.48578698083</v>
      </c>
      <c r="CH49" s="217">
        <f>+'Info recibida'!CH68/550</f>
        <v>7090.909090909091</v>
      </c>
      <c r="CI49" s="170">
        <f>+'Info recibida'!CI68/550</f>
        <v>7303.636363636364</v>
      </c>
      <c r="CJ49" s="170">
        <f>+'Info recibida'!CJ68/550</f>
        <v>7522.7454545454548</v>
      </c>
      <c r="CK49" s="170">
        <f>+'Info recibida'!CK68/550</f>
        <v>7748.4278181818199</v>
      </c>
      <c r="CL49" s="170">
        <f>+'Info recibida'!CL68/550</f>
        <v>7980.8806527272745</v>
      </c>
      <c r="CM49" s="170">
        <f>+'Info recibida'!CM68/550</f>
        <v>8220.3070723090932</v>
      </c>
      <c r="CN49" s="170">
        <f>+'Info recibida'!CN68/550</f>
        <v>8466.9162844783659</v>
      </c>
      <c r="CO49" s="170">
        <f>+'Info recibida'!CO68/550</f>
        <v>8720.9237730127188</v>
      </c>
      <c r="CP49" s="170">
        <f>+'Info recibida'!CP68/550</f>
        <v>8982.5514862030996</v>
      </c>
      <c r="CQ49" s="213">
        <f>+'Info recibida'!CQ68/550</f>
        <v>72037.297996003283</v>
      </c>
      <c r="CR49" s="70"/>
      <c r="CS49" s="220"/>
      <c r="CT49" s="71"/>
      <c r="CU49" s="210"/>
      <c r="CV49" s="210"/>
      <c r="CW49" s="210"/>
      <c r="CX49" s="210"/>
      <c r="CY49" s="221">
        <f>+'Info recibida'!CY68/550</f>
        <v>72037.297996003283</v>
      </c>
      <c r="CZ49" s="222"/>
      <c r="DA49" s="517"/>
    </row>
    <row r="50" spans="2:112" ht="26.1" customHeight="1" x14ac:dyDescent="0.25">
      <c r="B50" s="204" t="s">
        <v>10</v>
      </c>
      <c r="C50" s="205" t="s">
        <v>356</v>
      </c>
      <c r="D50" s="47" t="s">
        <v>4</v>
      </c>
      <c r="E50" s="48" t="s">
        <v>462</v>
      </c>
      <c r="F50" s="48" t="s">
        <v>397</v>
      </c>
      <c r="G50" s="48" t="s">
        <v>102</v>
      </c>
      <c r="H50" s="49"/>
      <c r="I50" s="49" t="s">
        <v>230</v>
      </c>
      <c r="J50" s="206"/>
      <c r="K50" s="207"/>
      <c r="L50" s="208"/>
      <c r="M50" s="103"/>
      <c r="N50" s="204" t="s">
        <v>10</v>
      </c>
      <c r="O50" s="47" t="s">
        <v>4</v>
      </c>
      <c r="P50" s="48" t="s">
        <v>434</v>
      </c>
      <c r="Q50" s="48"/>
      <c r="R50" s="48" t="s">
        <v>314</v>
      </c>
      <c r="S50" s="48" t="s">
        <v>314</v>
      </c>
      <c r="T50" s="48"/>
      <c r="U50" s="48" t="s">
        <v>314</v>
      </c>
      <c r="V50" s="48"/>
      <c r="W50" s="48" t="s">
        <v>307</v>
      </c>
      <c r="X50" s="48"/>
      <c r="Y50" s="48"/>
      <c r="Z50" s="48"/>
      <c r="AA50" s="48"/>
      <c r="AB50" s="48" t="s">
        <v>314</v>
      </c>
      <c r="AC50" s="48"/>
      <c r="AD50" s="48"/>
      <c r="AE50" s="209"/>
      <c r="AF50" s="47" t="s">
        <v>315</v>
      </c>
      <c r="AG50" s="210" t="s">
        <v>339</v>
      </c>
      <c r="AH50" s="101" t="s">
        <v>435</v>
      </c>
      <c r="AI50" s="170"/>
      <c r="AJ50" s="170"/>
      <c r="AK50" s="170">
        <v>1</v>
      </c>
      <c r="AL50" s="170">
        <v>1</v>
      </c>
      <c r="AM50" s="170">
        <v>1</v>
      </c>
      <c r="AN50" s="170">
        <v>1</v>
      </c>
      <c r="AO50" s="170">
        <v>1</v>
      </c>
      <c r="AP50" s="170">
        <v>1</v>
      </c>
      <c r="AQ50" s="170">
        <v>1</v>
      </c>
      <c r="AR50" s="170">
        <v>1</v>
      </c>
      <c r="AS50" s="170"/>
      <c r="AT50" s="170"/>
      <c r="AU50" s="170"/>
      <c r="AV50" s="170">
        <v>10</v>
      </c>
      <c r="AW50" s="170">
        <v>10</v>
      </c>
      <c r="AX50" s="170">
        <v>10</v>
      </c>
      <c r="AY50" s="170">
        <v>10</v>
      </c>
      <c r="AZ50" s="170">
        <v>10</v>
      </c>
      <c r="BA50" s="170">
        <v>10</v>
      </c>
      <c r="BB50" s="170">
        <v>10</v>
      </c>
      <c r="BC50" s="170">
        <v>10</v>
      </c>
      <c r="BD50" s="48"/>
      <c r="BE50" s="94"/>
      <c r="BF50" s="206"/>
      <c r="BG50" s="68" t="s">
        <v>312</v>
      </c>
      <c r="BH50" s="48" t="s">
        <v>313</v>
      </c>
      <c r="BI50" s="211">
        <f>+'Info recibida'!BJ8/550</f>
        <v>0</v>
      </c>
      <c r="BJ50" s="170">
        <f>+'Info recibida'!BK8/550</f>
        <v>0</v>
      </c>
      <c r="BK50" s="170">
        <f>+'Info recibida'!BL8/550</f>
        <v>545.4545454545455</v>
      </c>
      <c r="BL50" s="170">
        <f>+'Info recibida'!BM8/550</f>
        <v>545.4545454545455</v>
      </c>
      <c r="BM50" s="170">
        <f>+'Info recibida'!BN8/550</f>
        <v>545.4545454545455</v>
      </c>
      <c r="BN50" s="170">
        <f>+'Info recibida'!BO8/550</f>
        <v>545.4545454545455</v>
      </c>
      <c r="BO50" s="170">
        <f>+'Info recibida'!BP8/550</f>
        <v>545.4545454545455</v>
      </c>
      <c r="BP50" s="170">
        <f>+'Info recibida'!BQ8/550</f>
        <v>545.4545454545455</v>
      </c>
      <c r="BQ50" s="170">
        <f>+'Info recibida'!BR8/550</f>
        <v>545.4545454545455</v>
      </c>
      <c r="BR50" s="170">
        <f>+'Info recibida'!BS8/550</f>
        <v>545.4545454545455</v>
      </c>
      <c r="BS50" s="170">
        <f>+'Info recibida'!BT8/550</f>
        <v>4363.636363636364</v>
      </c>
      <c r="BT50" s="48"/>
      <c r="BU50" s="48"/>
      <c r="BV50" s="215">
        <v>1</v>
      </c>
      <c r="BW50" s="243" t="s">
        <v>436</v>
      </c>
      <c r="BX50" s="212">
        <f>+'Info recibida'!BY8/550</f>
        <v>0</v>
      </c>
      <c r="BY50" s="170">
        <f>+'Info recibida'!BZ8/550</f>
        <v>5454.545454545455</v>
      </c>
      <c r="BZ50" s="170">
        <f>+'Info recibida'!CA8/550</f>
        <v>5454.545454545455</v>
      </c>
      <c r="CA50" s="170">
        <f>+'Info recibida'!CB8/550</f>
        <v>5454.545454545455</v>
      </c>
      <c r="CB50" s="170">
        <f>+'Info recibida'!CC8/550</f>
        <v>5454.545454545455</v>
      </c>
      <c r="CC50" s="170">
        <f>+'Info recibida'!CD8/550</f>
        <v>5454.545454545455</v>
      </c>
      <c r="CD50" s="170">
        <f>+'Info recibida'!CE8/550</f>
        <v>5454.545454545455</v>
      </c>
      <c r="CE50" s="170">
        <f>+'Info recibida'!CF8/550</f>
        <v>5454.545454545455</v>
      </c>
      <c r="CF50" s="218">
        <f>+'Info recibida'!CG8/550</f>
        <v>5454.545454545455</v>
      </c>
      <c r="CG50" s="213">
        <f t="shared" si="9"/>
        <v>43636.36363636364</v>
      </c>
      <c r="CH50" s="212">
        <f>+'Info recibida'!CH8/550</f>
        <v>0</v>
      </c>
      <c r="CI50" s="170">
        <f>+'Info recibida'!CI8/550</f>
        <v>4909.090909090909</v>
      </c>
      <c r="CJ50" s="170">
        <f>+'Info recibida'!CJ8/550</f>
        <v>4909.090909090909</v>
      </c>
      <c r="CK50" s="170">
        <f>+'Info recibida'!CK8/550</f>
        <v>4909.090909090909</v>
      </c>
      <c r="CL50" s="170">
        <f>+'Info recibida'!CL8/550</f>
        <v>4909.090909090909</v>
      </c>
      <c r="CM50" s="170">
        <f>+'Info recibida'!CM8/550</f>
        <v>4909.090909090909</v>
      </c>
      <c r="CN50" s="170">
        <f>+'Info recibida'!CN8/550</f>
        <v>4909.090909090909</v>
      </c>
      <c r="CO50" s="170">
        <f>+'Info recibida'!CO8/550</f>
        <v>4909.090909090909</v>
      </c>
      <c r="CP50" s="170">
        <f>+'Info recibida'!CP8/550</f>
        <v>4909.090909090909</v>
      </c>
      <c r="CQ50" s="213">
        <f>+'Info recibida'!CQ8/550</f>
        <v>39272.727272727272</v>
      </c>
      <c r="CR50" s="70"/>
      <c r="CS50" s="71"/>
      <c r="CT50" s="71"/>
      <c r="CU50" s="210"/>
      <c r="CV50" s="210"/>
      <c r="CW50" s="210"/>
      <c r="CX50" s="210"/>
      <c r="CY50" s="221">
        <f>+'Info recibida'!CY8/550</f>
        <v>39272.727272727272</v>
      </c>
      <c r="CZ50" s="222"/>
      <c r="DA50" s="517"/>
    </row>
    <row r="51" spans="2:112" ht="26.1" customHeight="1" x14ac:dyDescent="0.25">
      <c r="B51" s="204" t="s">
        <v>56</v>
      </c>
      <c r="C51" s="205" t="s">
        <v>355</v>
      </c>
      <c r="D51" s="47" t="s">
        <v>4</v>
      </c>
      <c r="E51" s="48" t="s">
        <v>404</v>
      </c>
      <c r="F51" s="48" t="s">
        <v>394</v>
      </c>
      <c r="G51" s="48" t="s">
        <v>117</v>
      </c>
      <c r="H51" s="49"/>
      <c r="I51" s="49" t="s">
        <v>230</v>
      </c>
      <c r="J51" s="206"/>
      <c r="K51" s="207"/>
      <c r="L51" s="208"/>
      <c r="N51" s="204" t="s">
        <v>56</v>
      </c>
      <c r="O51" s="47" t="s">
        <v>4</v>
      </c>
      <c r="P51" s="48" t="s">
        <v>404</v>
      </c>
      <c r="Q51" s="48" t="s">
        <v>314</v>
      </c>
      <c r="R51" s="48" t="s">
        <v>314</v>
      </c>
      <c r="S51" s="48" t="s">
        <v>314</v>
      </c>
      <c r="T51" s="48"/>
      <c r="U51" s="48" t="s">
        <v>314</v>
      </c>
      <c r="V51" s="48"/>
      <c r="W51" s="48" t="s">
        <v>307</v>
      </c>
      <c r="X51" s="48"/>
      <c r="Y51" s="48"/>
      <c r="Z51" s="48"/>
      <c r="AA51" s="48"/>
      <c r="AB51" s="48" t="s">
        <v>314</v>
      </c>
      <c r="AC51" s="48"/>
      <c r="AD51" s="48"/>
      <c r="AE51" s="209"/>
      <c r="AF51" s="47" t="s">
        <v>315</v>
      </c>
      <c r="AG51" s="210" t="s">
        <v>316</v>
      </c>
      <c r="AH51" s="267" t="s">
        <v>317</v>
      </c>
      <c r="AI51" s="251">
        <v>0</v>
      </c>
      <c r="AJ51" s="251">
        <v>0</v>
      </c>
      <c r="AK51" s="251">
        <v>1</v>
      </c>
      <c r="AL51" s="251">
        <v>0.5</v>
      </c>
      <c r="AM51" s="251">
        <v>0.5</v>
      </c>
      <c r="AN51" s="251">
        <v>0</v>
      </c>
      <c r="AO51" s="251">
        <v>0</v>
      </c>
      <c r="AP51" s="251">
        <v>0</v>
      </c>
      <c r="AQ51" s="251">
        <v>0</v>
      </c>
      <c r="AR51" s="251">
        <v>0</v>
      </c>
      <c r="AS51" s="251"/>
      <c r="AT51" s="251"/>
      <c r="AU51" s="251">
        <v>0</v>
      </c>
      <c r="AV51" s="251">
        <v>3</v>
      </c>
      <c r="AW51" s="251">
        <v>1</v>
      </c>
      <c r="AX51" s="251">
        <v>1</v>
      </c>
      <c r="AY51" s="251">
        <v>0</v>
      </c>
      <c r="AZ51" s="251">
        <v>0</v>
      </c>
      <c r="BA51" s="251">
        <v>0</v>
      </c>
      <c r="BB51" s="251">
        <v>0</v>
      </c>
      <c r="BC51" s="251">
        <v>0</v>
      </c>
      <c r="BD51" s="251"/>
      <c r="BE51" s="331"/>
      <c r="BF51" s="206" t="s">
        <v>318</v>
      </c>
      <c r="BG51" s="257" t="s">
        <v>312</v>
      </c>
      <c r="BH51" s="48" t="s">
        <v>313</v>
      </c>
      <c r="BI51" s="252">
        <f>+'Info recibida'!BJ64/550</f>
        <v>0</v>
      </c>
      <c r="BJ51" s="170">
        <f>+'Info recibida'!BK64/550</f>
        <v>0</v>
      </c>
      <c r="BK51" s="170">
        <f>+'Info recibida'!BL64/550</f>
        <v>12363.636363636364</v>
      </c>
      <c r="BL51" s="170">
        <f>+'Info recibida'!BM64/550</f>
        <v>6181.818181818182</v>
      </c>
      <c r="BM51" s="170">
        <f>+'Info recibida'!BN64/550</f>
        <v>6181.818181818182</v>
      </c>
      <c r="BN51" s="170">
        <f>+'Info recibida'!BO64/550</f>
        <v>0</v>
      </c>
      <c r="BO51" s="170">
        <f>+'Info recibida'!BP64/550</f>
        <v>0</v>
      </c>
      <c r="BP51" s="170">
        <f>+'Info recibida'!BQ64/550</f>
        <v>0</v>
      </c>
      <c r="BQ51" s="170">
        <f>+'Info recibida'!BR64/550</f>
        <v>0</v>
      </c>
      <c r="BR51" s="170">
        <f>+'Info recibida'!BS64/550</f>
        <v>0</v>
      </c>
      <c r="BS51" s="170">
        <f>+'Info recibida'!BT64/550</f>
        <v>24727.272727272728</v>
      </c>
      <c r="BT51" s="308">
        <v>1</v>
      </c>
      <c r="BU51" s="48"/>
      <c r="BV51" s="48"/>
      <c r="BW51" s="243"/>
      <c r="BX51" s="212">
        <f>+'Info recibida'!BY64/550</f>
        <v>0</v>
      </c>
      <c r="BY51" s="170">
        <f>+'Info recibida'!BZ64/550</f>
        <v>37090.909090909088</v>
      </c>
      <c r="BZ51" s="170">
        <f>+'Info recibida'!CA64/550</f>
        <v>12363.636363636364</v>
      </c>
      <c r="CA51" s="170">
        <f>+'Info recibida'!CB64/550</f>
        <v>12363.636363636364</v>
      </c>
      <c r="CB51" s="170">
        <f>+'Info recibida'!CC64/550</f>
        <v>0</v>
      </c>
      <c r="CC51" s="170">
        <f>+'Info recibida'!CD64/550</f>
        <v>0</v>
      </c>
      <c r="CD51" s="170">
        <f>+'Info recibida'!CE64/550</f>
        <v>0</v>
      </c>
      <c r="CE51" s="170">
        <f>+'Info recibida'!CF64/550</f>
        <v>0</v>
      </c>
      <c r="CF51" s="218">
        <f>+'Info recibida'!CG64/550</f>
        <v>0</v>
      </c>
      <c r="CG51" s="213">
        <f t="shared" si="9"/>
        <v>61818.181818181823</v>
      </c>
      <c r="CH51" s="217">
        <f>+'Info recibida'!CH64/550</f>
        <v>0</v>
      </c>
      <c r="CI51" s="170">
        <f>+'Info recibida'!CI64/550</f>
        <v>24727.272727272728</v>
      </c>
      <c r="CJ51" s="170">
        <f>+'Info recibida'!CJ64/550</f>
        <v>6181.818181818182</v>
      </c>
      <c r="CK51" s="170">
        <f>+'Info recibida'!CK64/550</f>
        <v>6181.818181818182</v>
      </c>
      <c r="CL51" s="170">
        <f>+'Info recibida'!CL64/550</f>
        <v>0</v>
      </c>
      <c r="CM51" s="170">
        <f>+'Info recibida'!CM64/550</f>
        <v>0</v>
      </c>
      <c r="CN51" s="170">
        <f>+'Info recibida'!CN64/550</f>
        <v>0</v>
      </c>
      <c r="CO51" s="170">
        <f>+'Info recibida'!CO64/550</f>
        <v>0</v>
      </c>
      <c r="CP51" s="170">
        <f>+'Info recibida'!CP64/550</f>
        <v>0</v>
      </c>
      <c r="CQ51" s="213">
        <f>+'Info recibida'!CQ64/550</f>
        <v>37090.909090909088</v>
      </c>
      <c r="CR51" s="70"/>
      <c r="CS51" s="71"/>
      <c r="CT51" s="71"/>
      <c r="CU51" s="210"/>
      <c r="CV51" s="210"/>
      <c r="CW51" s="210"/>
      <c r="CX51" s="210"/>
      <c r="CY51" s="221">
        <f>+'Info recibida'!CY64/550</f>
        <v>37090.909090909088</v>
      </c>
      <c r="CZ51" s="222"/>
      <c r="DA51" s="517"/>
    </row>
    <row r="52" spans="2:112" ht="26.1" customHeight="1" x14ac:dyDescent="0.25">
      <c r="B52" s="204" t="s">
        <v>40</v>
      </c>
      <c r="C52" s="205" t="s">
        <v>357</v>
      </c>
      <c r="D52" s="47" t="s">
        <v>4</v>
      </c>
      <c r="E52" s="48" t="s">
        <v>405</v>
      </c>
      <c r="F52" s="48" t="s">
        <v>397</v>
      </c>
      <c r="G52" s="48" t="s">
        <v>113</v>
      </c>
      <c r="H52" s="49"/>
      <c r="I52" s="49" t="s">
        <v>230</v>
      </c>
      <c r="J52" s="206"/>
      <c r="K52" s="207"/>
      <c r="L52" s="208"/>
      <c r="N52" s="204" t="s">
        <v>472</v>
      </c>
      <c r="O52" s="47" t="s">
        <v>4</v>
      </c>
      <c r="P52" s="48" t="s">
        <v>444</v>
      </c>
      <c r="Q52" s="48" t="s">
        <v>314</v>
      </c>
      <c r="R52" s="48" t="s">
        <v>314</v>
      </c>
      <c r="S52" s="48" t="s">
        <v>314</v>
      </c>
      <c r="T52" s="48"/>
      <c r="U52" s="48" t="s">
        <v>314</v>
      </c>
      <c r="V52" s="48"/>
      <c r="W52" s="48" t="s">
        <v>307</v>
      </c>
      <c r="X52" s="48"/>
      <c r="Y52" s="48"/>
      <c r="Z52" s="48"/>
      <c r="AA52" s="48"/>
      <c r="AB52" s="48"/>
      <c r="AC52" s="48"/>
      <c r="AD52" s="48"/>
      <c r="AE52" s="209"/>
      <c r="AF52" s="47" t="s">
        <v>315</v>
      </c>
      <c r="AG52" s="210" t="s">
        <v>319</v>
      </c>
      <c r="AH52" s="97" t="s">
        <v>445</v>
      </c>
      <c r="AI52" s="170">
        <v>1</v>
      </c>
      <c r="AJ52" s="170">
        <v>0</v>
      </c>
      <c r="AK52" s="170">
        <v>0</v>
      </c>
      <c r="AL52" s="170">
        <v>0</v>
      </c>
      <c r="AM52" s="170">
        <v>0</v>
      </c>
      <c r="AN52" s="170">
        <v>0</v>
      </c>
      <c r="AO52" s="170">
        <v>0</v>
      </c>
      <c r="AP52" s="170">
        <v>0</v>
      </c>
      <c r="AQ52" s="170">
        <v>0</v>
      </c>
      <c r="AR52" s="170">
        <v>1</v>
      </c>
      <c r="AS52" s="170"/>
      <c r="AT52" s="170"/>
      <c r="AU52" s="170">
        <v>0</v>
      </c>
      <c r="AV52" s="170">
        <v>0</v>
      </c>
      <c r="AW52" s="170">
        <v>0</v>
      </c>
      <c r="AX52" s="170">
        <v>1</v>
      </c>
      <c r="AY52" s="170">
        <v>0</v>
      </c>
      <c r="AZ52" s="170">
        <v>0</v>
      </c>
      <c r="BA52" s="170">
        <v>0</v>
      </c>
      <c r="BB52" s="170">
        <v>0</v>
      </c>
      <c r="BC52" s="170">
        <v>0</v>
      </c>
      <c r="BD52" s="170"/>
      <c r="BE52" s="260"/>
      <c r="BF52" s="206" t="s">
        <v>446</v>
      </c>
      <c r="BG52" s="257" t="s">
        <v>349</v>
      </c>
      <c r="BH52" s="48" t="s">
        <v>313</v>
      </c>
      <c r="BI52" s="211">
        <f>+'Info recibida'!BJ44/550</f>
        <v>0</v>
      </c>
      <c r="BJ52" s="170">
        <f>+'Info recibida'!BK44/550</f>
        <v>6000</v>
      </c>
      <c r="BK52" s="170">
        <f>+'Info recibida'!BL44/550</f>
        <v>6000</v>
      </c>
      <c r="BL52" s="170">
        <f>+'Info recibida'!BM44/550</f>
        <v>6000</v>
      </c>
      <c r="BM52" s="170">
        <f>+'Info recibida'!BN44/550</f>
        <v>6000</v>
      </c>
      <c r="BN52" s="170">
        <f>+'Info recibida'!BO44/550</f>
        <v>6000</v>
      </c>
      <c r="BO52" s="170">
        <f>+'Info recibida'!BP44/550</f>
        <v>6000</v>
      </c>
      <c r="BP52" s="170">
        <f>+'Info recibida'!BQ44/550</f>
        <v>0</v>
      </c>
      <c r="BQ52" s="170">
        <f>+'Info recibida'!BR44/550</f>
        <v>0</v>
      </c>
      <c r="BR52" s="170">
        <f>+'Info recibida'!BS44/550</f>
        <v>0</v>
      </c>
      <c r="BS52" s="170">
        <f>+'Info recibida'!BT44/550</f>
        <v>36000</v>
      </c>
      <c r="BT52" s="48"/>
      <c r="BU52" s="48"/>
      <c r="BV52" s="215">
        <v>1</v>
      </c>
      <c r="BW52" s="243"/>
      <c r="BX52" s="212">
        <f>+'Info recibida'!BY44/550</f>
        <v>10000</v>
      </c>
      <c r="BY52" s="170">
        <f>+'Info recibida'!BZ44/550</f>
        <v>30000</v>
      </c>
      <c r="BZ52" s="170">
        <f>+'Info recibida'!CA44/550</f>
        <v>20000</v>
      </c>
      <c r="CA52" s="170">
        <f>+'Info recibida'!CB44/550</f>
        <v>0</v>
      </c>
      <c r="CB52" s="170">
        <f>+'Info recibida'!CC44/550</f>
        <v>0</v>
      </c>
      <c r="CC52" s="170">
        <f>+'Info recibida'!CD44/550</f>
        <v>0</v>
      </c>
      <c r="CD52" s="170">
        <f>+'Info recibida'!CE44/550</f>
        <v>0</v>
      </c>
      <c r="CE52" s="170">
        <f>+'Info recibida'!CF44/550</f>
        <v>0</v>
      </c>
      <c r="CF52" s="218">
        <f>+'Info recibida'!CG44/550</f>
        <v>0</v>
      </c>
      <c r="CG52" s="213">
        <f t="shared" si="9"/>
        <v>60000</v>
      </c>
      <c r="CH52" s="217">
        <f>+'Info recibida'!CH44/550</f>
        <v>4000</v>
      </c>
      <c r="CI52" s="170">
        <f>+'Info recibida'!CI44/550</f>
        <v>24000</v>
      </c>
      <c r="CJ52" s="170">
        <f>+'Info recibida'!CJ44/550</f>
        <v>14000</v>
      </c>
      <c r="CK52" s="170">
        <f>+'Info recibida'!CK44/550</f>
        <v>-6000</v>
      </c>
      <c r="CL52" s="170">
        <f>+'Info recibida'!CL44/550</f>
        <v>-6000</v>
      </c>
      <c r="CM52" s="170">
        <f>+'Info recibida'!CM44/550</f>
        <v>-6000</v>
      </c>
      <c r="CN52" s="170">
        <f>+'Info recibida'!CN44/550</f>
        <v>0</v>
      </c>
      <c r="CO52" s="170">
        <f>+'Info recibida'!CO44/550</f>
        <v>0</v>
      </c>
      <c r="CP52" s="170">
        <f>+'Info recibida'!CP44/550</f>
        <v>0</v>
      </c>
      <c r="CQ52" s="213">
        <f>+'Info recibida'!CQ44/550</f>
        <v>24000</v>
      </c>
      <c r="CR52" s="70"/>
      <c r="CS52" s="71"/>
      <c r="CT52" s="71"/>
      <c r="CU52" s="210"/>
      <c r="CV52" s="210"/>
      <c r="CW52" s="210"/>
      <c r="CX52" s="210"/>
      <c r="CY52" s="221">
        <f>+'Info recibida'!CY44/550</f>
        <v>24000</v>
      </c>
      <c r="CZ52" s="222"/>
      <c r="DA52" s="517"/>
    </row>
    <row r="53" spans="2:112" ht="26.1" customHeight="1" x14ac:dyDescent="0.25">
      <c r="B53" s="204" t="s">
        <v>69</v>
      </c>
      <c r="C53" s="205" t="s">
        <v>357</v>
      </c>
      <c r="D53" s="47" t="s">
        <v>4</v>
      </c>
      <c r="E53" s="48" t="s">
        <v>406</v>
      </c>
      <c r="F53" s="48" t="s">
        <v>63</v>
      </c>
      <c r="G53" s="48" t="s">
        <v>124</v>
      </c>
      <c r="H53" s="49"/>
      <c r="I53" s="49" t="s">
        <v>236</v>
      </c>
      <c r="J53" s="206"/>
      <c r="K53" s="207"/>
      <c r="L53" s="208"/>
      <c r="N53" s="204" t="s">
        <v>69</v>
      </c>
      <c r="O53" s="47" t="s">
        <v>4</v>
      </c>
      <c r="P53" s="48" t="s">
        <v>406</v>
      </c>
      <c r="Q53" s="48" t="s">
        <v>314</v>
      </c>
      <c r="R53" s="48" t="s">
        <v>314</v>
      </c>
      <c r="S53" s="48" t="s">
        <v>314</v>
      </c>
      <c r="T53" s="48" t="s">
        <v>314</v>
      </c>
      <c r="U53" s="48"/>
      <c r="V53" s="48"/>
      <c r="W53" s="48" t="s">
        <v>307</v>
      </c>
      <c r="X53" s="48"/>
      <c r="Y53" s="48" t="s">
        <v>314</v>
      </c>
      <c r="Z53" s="48"/>
      <c r="AA53" s="48"/>
      <c r="AB53" s="48" t="s">
        <v>314</v>
      </c>
      <c r="AC53" s="48"/>
      <c r="AD53" s="48"/>
      <c r="AE53" s="209"/>
      <c r="AF53" s="47" t="s">
        <v>315</v>
      </c>
      <c r="AG53" s="210" t="s">
        <v>316</v>
      </c>
      <c r="AH53" s="68" t="s">
        <v>333</v>
      </c>
      <c r="AI53" s="170"/>
      <c r="AJ53" s="170">
        <v>9</v>
      </c>
      <c r="AK53" s="170">
        <v>9</v>
      </c>
      <c r="AL53" s="170">
        <v>9</v>
      </c>
      <c r="AM53" s="170">
        <v>9</v>
      </c>
      <c r="AN53" s="170">
        <v>9</v>
      </c>
      <c r="AO53" s="170">
        <v>9</v>
      </c>
      <c r="AP53" s="170">
        <v>9</v>
      </c>
      <c r="AQ53" s="170">
        <v>9</v>
      </c>
      <c r="AR53" s="170">
        <v>9</v>
      </c>
      <c r="AS53" s="170"/>
      <c r="AT53" s="170"/>
      <c r="AU53" s="170">
        <f t="shared" ref="AU53:BC53" si="11">+AJ53*2</f>
        <v>18</v>
      </c>
      <c r="AV53" s="170">
        <f t="shared" si="11"/>
        <v>18</v>
      </c>
      <c r="AW53" s="170">
        <f t="shared" si="11"/>
        <v>18</v>
      </c>
      <c r="AX53" s="170">
        <f t="shared" si="11"/>
        <v>18</v>
      </c>
      <c r="AY53" s="170">
        <f t="shared" si="11"/>
        <v>18</v>
      </c>
      <c r="AZ53" s="170">
        <f t="shared" si="11"/>
        <v>18</v>
      </c>
      <c r="BA53" s="170">
        <f t="shared" si="11"/>
        <v>18</v>
      </c>
      <c r="BB53" s="170">
        <f t="shared" si="11"/>
        <v>18</v>
      </c>
      <c r="BC53" s="170">
        <f t="shared" si="11"/>
        <v>18</v>
      </c>
      <c r="BD53" s="170"/>
      <c r="BE53" s="260"/>
      <c r="BF53" s="206" t="s">
        <v>334</v>
      </c>
      <c r="BG53" s="68" t="s">
        <v>349</v>
      </c>
      <c r="BH53" s="48" t="s">
        <v>313</v>
      </c>
      <c r="BI53" s="211">
        <f>+'Info recibida'!BJ73/550</f>
        <v>0</v>
      </c>
      <c r="BJ53" s="170">
        <f>+'Info recibida'!BK73/550</f>
        <v>1636.3636363636363</v>
      </c>
      <c r="BK53" s="170">
        <f>+'Info recibida'!BL73/550</f>
        <v>1636.3636363636363</v>
      </c>
      <c r="BL53" s="170">
        <f>+'Info recibida'!BM73/550</f>
        <v>1636.3636363636363</v>
      </c>
      <c r="BM53" s="170">
        <f>+'Info recibida'!BN73/550</f>
        <v>1636.3636363636363</v>
      </c>
      <c r="BN53" s="170">
        <f>+'Info recibida'!BO73/550</f>
        <v>1636.3636363636363</v>
      </c>
      <c r="BO53" s="170">
        <f>+'Info recibida'!BP73/550</f>
        <v>1636.3636363636363</v>
      </c>
      <c r="BP53" s="170">
        <f>+'Info recibida'!BQ73/550</f>
        <v>1636.3636363636363</v>
      </c>
      <c r="BQ53" s="170">
        <f>+'Info recibida'!BR73/550</f>
        <v>1636.3636363636363</v>
      </c>
      <c r="BR53" s="170">
        <f>+'Info recibida'!BS73/550</f>
        <v>1636.3636363636363</v>
      </c>
      <c r="BS53" s="170">
        <f>+'Info recibida'!BT73/550</f>
        <v>14727.272727272728</v>
      </c>
      <c r="BT53" s="308">
        <v>1</v>
      </c>
      <c r="BU53" s="48"/>
      <c r="BV53" s="48"/>
      <c r="BW53" s="243"/>
      <c r="BX53" s="212">
        <f>+'Info recibida'!BY73/550</f>
        <v>3272.7272727272725</v>
      </c>
      <c r="BY53" s="170">
        <f>+'Info recibida'!BZ73/550</f>
        <v>3272.7272727272725</v>
      </c>
      <c r="BZ53" s="170">
        <f>+'Info recibida'!CA73/550</f>
        <v>3272.7272727272725</v>
      </c>
      <c r="CA53" s="170">
        <f>+'Info recibida'!CB73/550</f>
        <v>3272.7272727272725</v>
      </c>
      <c r="CB53" s="170">
        <f>+'Info recibida'!CC73/550</f>
        <v>3272.7272727272725</v>
      </c>
      <c r="CC53" s="170">
        <f>+'Info recibida'!CD73/550</f>
        <v>3272.7272727272725</v>
      </c>
      <c r="CD53" s="170">
        <f>+'Info recibida'!CE73/550</f>
        <v>3272.7272727272725</v>
      </c>
      <c r="CE53" s="170">
        <f>+'Info recibida'!CF73/550</f>
        <v>3272.7272727272725</v>
      </c>
      <c r="CF53" s="218">
        <f>+'Info recibida'!CG73/550</f>
        <v>3272.7272727272725</v>
      </c>
      <c r="CG53" s="213">
        <f t="shared" si="9"/>
        <v>29454.545454545452</v>
      </c>
      <c r="CH53" s="217">
        <f>+'Info recibida'!CH73/550</f>
        <v>1636.3636363636363</v>
      </c>
      <c r="CI53" s="170">
        <f>+'Info recibida'!CI73/550</f>
        <v>1636.3636363636363</v>
      </c>
      <c r="CJ53" s="170">
        <f>+'Info recibida'!CJ73/550</f>
        <v>1636.3636363636363</v>
      </c>
      <c r="CK53" s="170">
        <f>+'Info recibida'!CK73/550</f>
        <v>1636.3636363636363</v>
      </c>
      <c r="CL53" s="170">
        <f>+'Info recibida'!CL73/550</f>
        <v>1636.3636363636363</v>
      </c>
      <c r="CM53" s="170">
        <f>+'Info recibida'!CM73/550</f>
        <v>1636.3636363636363</v>
      </c>
      <c r="CN53" s="170">
        <f>+'Info recibida'!CN73/550</f>
        <v>1636.3636363636363</v>
      </c>
      <c r="CO53" s="170">
        <f>+'Info recibida'!CO73/550</f>
        <v>1636.3636363636363</v>
      </c>
      <c r="CP53" s="170">
        <f>+'Info recibida'!CP73/550</f>
        <v>1636.3636363636363</v>
      </c>
      <c r="CQ53" s="213">
        <f>+'Info recibida'!CQ73/550</f>
        <v>14727.272727272728</v>
      </c>
      <c r="CR53" s="70"/>
      <c r="CS53" s="220">
        <v>14000</v>
      </c>
      <c r="CT53" s="71" t="s">
        <v>332</v>
      </c>
      <c r="CU53" s="210"/>
      <c r="CV53" s="210"/>
      <c r="CW53" s="210"/>
      <c r="CX53" s="210"/>
      <c r="CY53" s="221">
        <f>+'Info recibida'!CY73/550</f>
        <v>727.27272727272725</v>
      </c>
      <c r="CZ53" s="222"/>
      <c r="DA53" s="517"/>
    </row>
    <row r="54" spans="2:112" ht="26.1" customHeight="1" x14ac:dyDescent="0.25">
      <c r="B54" s="204" t="s">
        <v>26</v>
      </c>
      <c r="C54" s="205" t="s">
        <v>355</v>
      </c>
      <c r="D54" s="47" t="s">
        <v>4</v>
      </c>
      <c r="E54" s="48" t="s">
        <v>407</v>
      </c>
      <c r="F54" s="48" t="s">
        <v>395</v>
      </c>
      <c r="G54" s="50"/>
      <c r="H54" s="49"/>
      <c r="I54" s="49"/>
      <c r="J54" s="206"/>
      <c r="K54" s="207"/>
      <c r="L54" s="208"/>
      <c r="N54" s="204" t="s">
        <v>361</v>
      </c>
      <c r="O54" s="47" t="s">
        <v>4</v>
      </c>
      <c r="P54" s="48" t="s">
        <v>407</v>
      </c>
      <c r="Q54" s="50" t="s">
        <v>314</v>
      </c>
      <c r="R54" s="50"/>
      <c r="S54" s="48" t="s">
        <v>314</v>
      </c>
      <c r="T54" s="50"/>
      <c r="U54" s="50"/>
      <c r="V54" s="50"/>
      <c r="W54" s="50" t="s">
        <v>307</v>
      </c>
      <c r="X54" s="50"/>
      <c r="Y54" s="50"/>
      <c r="Z54" s="50" t="s">
        <v>314</v>
      </c>
      <c r="AA54" s="50"/>
      <c r="AB54" s="50"/>
      <c r="AC54" s="50" t="s">
        <v>314</v>
      </c>
      <c r="AD54" s="50"/>
      <c r="AE54" s="259"/>
      <c r="AF54" s="47" t="s">
        <v>308</v>
      </c>
      <c r="AG54" s="210" t="s">
        <v>309</v>
      </c>
      <c r="AH54" s="267" t="s">
        <v>370</v>
      </c>
      <c r="AI54" s="170">
        <v>10</v>
      </c>
      <c r="AJ54" s="170">
        <v>15</v>
      </c>
      <c r="AK54" s="170">
        <v>15</v>
      </c>
      <c r="AL54" s="170">
        <v>20</v>
      </c>
      <c r="AM54" s="170">
        <v>20</v>
      </c>
      <c r="AN54" s="170">
        <v>20</v>
      </c>
      <c r="AO54" s="170">
        <v>20</v>
      </c>
      <c r="AP54" s="170">
        <v>20</v>
      </c>
      <c r="AQ54" s="170">
        <v>20</v>
      </c>
      <c r="AR54" s="170">
        <v>20</v>
      </c>
      <c r="AS54" s="170">
        <v>20</v>
      </c>
      <c r="AT54" s="170">
        <v>20</v>
      </c>
      <c r="AU54" s="170">
        <v>50</v>
      </c>
      <c r="AV54" s="272">
        <v>60</v>
      </c>
      <c r="AW54" s="272">
        <v>70</v>
      </c>
      <c r="AX54" s="272">
        <v>80</v>
      </c>
      <c r="AY54" s="272">
        <v>90</v>
      </c>
      <c r="AZ54" s="272">
        <v>95</v>
      </c>
      <c r="BA54" s="272">
        <v>95</v>
      </c>
      <c r="BB54" s="272">
        <v>95</v>
      </c>
      <c r="BC54" s="272">
        <v>95</v>
      </c>
      <c r="BD54" s="272">
        <v>95</v>
      </c>
      <c r="BE54" s="260">
        <v>95</v>
      </c>
      <c r="BF54" s="206" t="s">
        <v>4</v>
      </c>
      <c r="BG54" s="68" t="s">
        <v>312</v>
      </c>
      <c r="BH54" s="48" t="s">
        <v>323</v>
      </c>
      <c r="BI54" s="413">
        <f>+'Info recibida'!BJ29/550</f>
        <v>9524.363636363636</v>
      </c>
      <c r="BJ54" s="170">
        <f>+'Info recibida'!BK29/550</f>
        <v>11905.454545454546</v>
      </c>
      <c r="BK54" s="170">
        <f>+'Info recibida'!BL29/550</f>
        <v>12500.727272727272</v>
      </c>
      <c r="BL54" s="170">
        <f>+'Info recibida'!BM29/550</f>
        <v>12500.727272727272</v>
      </c>
      <c r="BM54" s="170">
        <f>+'Info recibida'!BN29/550</f>
        <v>12500.727272727272</v>
      </c>
      <c r="BN54" s="170">
        <f>+'Info recibida'!BO29/550</f>
        <v>12500.727272727272</v>
      </c>
      <c r="BO54" s="170">
        <f>+'Info recibida'!BP29/550</f>
        <v>12500.727272727272</v>
      </c>
      <c r="BP54" s="170">
        <f>+'Info recibida'!BQ29/550</f>
        <v>12500.727272727272</v>
      </c>
      <c r="BQ54" s="170">
        <f>+'Info recibida'!BR29/550</f>
        <v>12500.727272727272</v>
      </c>
      <c r="BR54" s="170">
        <f>+'Info recibida'!BS29/550</f>
        <v>12500.727272727272</v>
      </c>
      <c r="BS54" s="170">
        <f>+'Info recibida'!BT29/550</f>
        <v>111911.27272727272</v>
      </c>
      <c r="BT54" s="504">
        <v>1</v>
      </c>
      <c r="BU54" s="170">
        <v>0.1</v>
      </c>
      <c r="BV54" s="170">
        <v>0</v>
      </c>
      <c r="BW54" s="213"/>
      <c r="BX54" s="212">
        <f>+'Info recibida'!BY29/550</f>
        <v>13096</v>
      </c>
      <c r="BY54" s="170">
        <f>+'Info recibida'!BZ29/550</f>
        <v>13750.8</v>
      </c>
      <c r="BZ54" s="170">
        <f>+'Info recibida'!CA29/550</f>
        <v>13750.8</v>
      </c>
      <c r="CA54" s="170">
        <f>+'Info recibida'!CB29/550</f>
        <v>13750.8</v>
      </c>
      <c r="CB54" s="170">
        <f>+'Info recibida'!CC29/550</f>
        <v>13750.8</v>
      </c>
      <c r="CC54" s="170">
        <f>+'Info recibida'!CD29/550</f>
        <v>13750.8</v>
      </c>
      <c r="CD54" s="170">
        <f>+'Info recibida'!CE29/550</f>
        <v>13750.8</v>
      </c>
      <c r="CE54" s="170">
        <f>+'Info recibida'!CF29/550</f>
        <v>13750.8</v>
      </c>
      <c r="CF54" s="218">
        <f>+'Info recibida'!CG29/550</f>
        <v>13750.8</v>
      </c>
      <c r="CG54" s="213">
        <f t="shared" si="9"/>
        <v>123102.40000000001</v>
      </c>
      <c r="CH54" s="217">
        <f>+'Info recibida'!CH29/550</f>
        <v>1190.5454545454545</v>
      </c>
      <c r="CI54" s="170">
        <f>+'Info recibida'!CI29/550</f>
        <v>1250.0727272727272</v>
      </c>
      <c r="CJ54" s="170">
        <f>+'Info recibida'!CJ29/550</f>
        <v>1250.0727272727272</v>
      </c>
      <c r="CK54" s="170">
        <f>+'Info recibida'!CK29/550</f>
        <v>1250.0727272727272</v>
      </c>
      <c r="CL54" s="170">
        <f>+'Info recibida'!CL29/550</f>
        <v>1250.0727272727272</v>
      </c>
      <c r="CM54" s="170">
        <f>+'Info recibida'!CM29/550</f>
        <v>1250.0727272727272</v>
      </c>
      <c r="CN54" s="170">
        <f>+'Info recibida'!CN29/550</f>
        <v>1250.0727272727272</v>
      </c>
      <c r="CO54" s="170">
        <f>+'Info recibida'!CO29/550</f>
        <v>1250.0727272727272</v>
      </c>
      <c r="CP54" s="170">
        <f>+'Info recibida'!CP29/550</f>
        <v>1250.0727272727272</v>
      </c>
      <c r="CQ54" s="213">
        <f>+'Info recibida'!CQ29/550</f>
        <v>11191.127272727274</v>
      </c>
      <c r="CR54" s="219"/>
      <c r="CS54" s="220"/>
      <c r="CT54" s="220"/>
      <c r="CU54" s="210"/>
      <c r="CV54" s="210"/>
      <c r="CW54" s="210"/>
      <c r="CX54" s="210"/>
      <c r="CY54" s="221">
        <f>+'Info recibida'!CY29/550</f>
        <v>11191.127272727274</v>
      </c>
      <c r="CZ54" s="222"/>
      <c r="DA54" s="517"/>
    </row>
    <row r="55" spans="2:112" ht="26.1" customHeight="1" x14ac:dyDescent="0.25">
      <c r="B55" s="279" t="s">
        <v>98</v>
      </c>
      <c r="C55" s="280" t="s">
        <v>355</v>
      </c>
      <c r="D55" s="47" t="s">
        <v>4</v>
      </c>
      <c r="E55" s="48" t="s">
        <v>406</v>
      </c>
      <c r="F55" s="48" t="s">
        <v>63</v>
      </c>
      <c r="G55" s="48" t="s">
        <v>140</v>
      </c>
      <c r="H55" s="49" t="s">
        <v>245</v>
      </c>
      <c r="I55" s="49" t="s">
        <v>236</v>
      </c>
      <c r="J55" s="206" t="s">
        <v>258</v>
      </c>
      <c r="K55" s="207"/>
      <c r="L55" s="208"/>
      <c r="N55" s="279" t="s">
        <v>392</v>
      </c>
      <c r="O55" s="47" t="s">
        <v>4</v>
      </c>
      <c r="P55" s="48" t="s">
        <v>406</v>
      </c>
      <c r="Q55" s="48" t="s">
        <v>314</v>
      </c>
      <c r="R55" s="48"/>
      <c r="S55" s="48" t="s">
        <v>314</v>
      </c>
      <c r="T55" s="48"/>
      <c r="U55" s="48"/>
      <c r="V55" s="48"/>
      <c r="W55" s="48" t="s">
        <v>307</v>
      </c>
      <c r="X55" s="48"/>
      <c r="Y55" s="48"/>
      <c r="Z55" s="48"/>
      <c r="AA55" s="48"/>
      <c r="AB55" s="48"/>
      <c r="AC55" s="48"/>
      <c r="AD55" s="48"/>
      <c r="AE55" s="209"/>
      <c r="AF55" s="47" t="s">
        <v>315</v>
      </c>
      <c r="AG55" s="210" t="s">
        <v>309</v>
      </c>
      <c r="AH55" s="267" t="s">
        <v>384</v>
      </c>
      <c r="AI55" s="170">
        <v>1000000000</v>
      </c>
      <c r="AJ55" s="284">
        <v>0</v>
      </c>
      <c r="AK55" s="284">
        <v>0</v>
      </c>
      <c r="AL55" s="284">
        <v>0</v>
      </c>
      <c r="AM55" s="284">
        <v>0</v>
      </c>
      <c r="AN55" s="284">
        <v>0</v>
      </c>
      <c r="AO55" s="284">
        <v>0</v>
      </c>
      <c r="AP55" s="284">
        <v>0</v>
      </c>
      <c r="AQ55" s="284">
        <v>0</v>
      </c>
      <c r="AR55" s="284">
        <v>0</v>
      </c>
      <c r="AS55" s="284"/>
      <c r="AT55" s="284"/>
      <c r="AU55" s="284">
        <v>0</v>
      </c>
      <c r="AV55" s="284">
        <v>0</v>
      </c>
      <c r="AW55" s="284">
        <v>0</v>
      </c>
      <c r="AX55" s="284">
        <v>0</v>
      </c>
      <c r="AY55" s="284">
        <v>0</v>
      </c>
      <c r="AZ55" s="284">
        <v>0</v>
      </c>
      <c r="BA55" s="284">
        <v>0</v>
      </c>
      <c r="BB55" s="284">
        <v>0</v>
      </c>
      <c r="BC55" s="284">
        <v>0</v>
      </c>
      <c r="BD55" s="284"/>
      <c r="BE55" s="533"/>
      <c r="BF55" s="206" t="s">
        <v>4</v>
      </c>
      <c r="BG55" s="257" t="s">
        <v>312</v>
      </c>
      <c r="BH55" s="48" t="s">
        <v>323</v>
      </c>
      <c r="BI55" s="252">
        <f>+'Info recibida'!BJ35/550</f>
        <v>1818181.8181818181</v>
      </c>
      <c r="BJ55" s="170">
        <f>+'Info recibida'!BK35/550</f>
        <v>1818181.8181818181</v>
      </c>
      <c r="BK55" s="170">
        <f>+'Info recibida'!BL35/550</f>
        <v>1818181.8181818181</v>
      </c>
      <c r="BL55" s="170">
        <f>+'Info recibida'!BM35/550</f>
        <v>1818181.8181818181</v>
      </c>
      <c r="BM55" s="170">
        <f>+'Info recibida'!BN35/550</f>
        <v>1818181.8181818181</v>
      </c>
      <c r="BN55" s="170">
        <f>+'Info recibida'!BO35/550</f>
        <v>1818181.8181818181</v>
      </c>
      <c r="BO55" s="170">
        <f>+'Info recibida'!BP35/550</f>
        <v>1818181.8181818181</v>
      </c>
      <c r="BP55" s="170">
        <f>+'Info recibida'!BQ35/550</f>
        <v>1818181.8181818181</v>
      </c>
      <c r="BQ55" s="170">
        <f>+'Info recibida'!BR35/550</f>
        <v>1818181.8181818181</v>
      </c>
      <c r="BR55" s="170">
        <f>+'Info recibida'!BS35/550</f>
        <v>1818181.8181818181</v>
      </c>
      <c r="BS55" s="170">
        <f>+'Info recibida'!BT35/550</f>
        <v>16363636.363636363</v>
      </c>
      <c r="BT55" s="504">
        <v>1</v>
      </c>
      <c r="BU55" s="48"/>
      <c r="BV55" s="48"/>
      <c r="BW55" s="243"/>
      <c r="BX55" s="212">
        <f>+'Info recibida'!BY35/550</f>
        <v>1818181.8181818181</v>
      </c>
      <c r="BY55" s="170">
        <f>+'Info recibida'!BZ35/550</f>
        <v>1818181.8181818181</v>
      </c>
      <c r="BZ55" s="170">
        <f>+'Info recibida'!CA35/550</f>
        <v>1818181.8181818181</v>
      </c>
      <c r="CA55" s="170">
        <f>+'Info recibida'!CB35/550</f>
        <v>1818181.8181818181</v>
      </c>
      <c r="CB55" s="170">
        <f>+'Info recibida'!CC35/550</f>
        <v>1818181.8181818181</v>
      </c>
      <c r="CC55" s="170">
        <f>+'Info recibida'!CD35/550</f>
        <v>1818181.8181818181</v>
      </c>
      <c r="CD55" s="170">
        <f>+'Info recibida'!CE35/550</f>
        <v>1818181.8181818181</v>
      </c>
      <c r="CE55" s="170">
        <f>+'Info recibida'!CF35/550</f>
        <v>1818181.8181818181</v>
      </c>
      <c r="CF55" s="218">
        <f>+'Info recibida'!CG35/550</f>
        <v>1818181.8181818181</v>
      </c>
      <c r="CG55" s="213">
        <f t="shared" si="9"/>
        <v>16363636.363636363</v>
      </c>
      <c r="CH55" s="217">
        <f>+'Info recibida'!CH35/550</f>
        <v>0</v>
      </c>
      <c r="CI55" s="170">
        <f>+'Info recibida'!CI35/550</f>
        <v>0</v>
      </c>
      <c r="CJ55" s="170">
        <f>+'Info recibida'!CJ35/550</f>
        <v>0</v>
      </c>
      <c r="CK55" s="170">
        <f>+'Info recibida'!CK35/550</f>
        <v>0</v>
      </c>
      <c r="CL55" s="170">
        <f>+'Info recibida'!CL35/550</f>
        <v>0</v>
      </c>
      <c r="CM55" s="170">
        <f>+'Info recibida'!CM35/550</f>
        <v>0</v>
      </c>
      <c r="CN55" s="170">
        <f>+'Info recibida'!CN35/550</f>
        <v>0</v>
      </c>
      <c r="CO55" s="170">
        <f>+'Info recibida'!CO35/550</f>
        <v>0</v>
      </c>
      <c r="CP55" s="170">
        <f>+'Info recibida'!CP35/550</f>
        <v>0</v>
      </c>
      <c r="CQ55" s="213">
        <f>+'Info recibida'!CQ35/550</f>
        <v>0</v>
      </c>
      <c r="CR55" s="70"/>
      <c r="CS55" s="71"/>
      <c r="CT55" s="71"/>
      <c r="CU55" s="210"/>
      <c r="CV55" s="210"/>
      <c r="CW55" s="210"/>
      <c r="CX55" s="210"/>
      <c r="CY55" s="221">
        <f>+'Info recibida'!CY35/550</f>
        <v>0</v>
      </c>
      <c r="CZ55" s="222"/>
      <c r="DA55" s="517"/>
    </row>
    <row r="56" spans="2:112" ht="26.1" customHeight="1" x14ac:dyDescent="0.25">
      <c r="B56" s="204" t="s">
        <v>43</v>
      </c>
      <c r="C56" s="205" t="s">
        <v>357</v>
      </c>
      <c r="D56" s="47" t="s">
        <v>44</v>
      </c>
      <c r="E56" s="255"/>
      <c r="F56" s="48" t="s">
        <v>11</v>
      </c>
      <c r="G56" s="48" t="s">
        <v>113</v>
      </c>
      <c r="H56" s="49"/>
      <c r="I56" s="49" t="s">
        <v>230</v>
      </c>
      <c r="J56" s="206"/>
      <c r="K56" s="207"/>
      <c r="L56" s="208"/>
      <c r="N56" s="204" t="s">
        <v>448</v>
      </c>
      <c r="O56" s="47" t="s">
        <v>44</v>
      </c>
      <c r="P56" s="48" t="s">
        <v>450</v>
      </c>
      <c r="Q56" s="48" t="s">
        <v>314</v>
      </c>
      <c r="R56" s="48" t="s">
        <v>314</v>
      </c>
      <c r="S56" s="48" t="s">
        <v>314</v>
      </c>
      <c r="T56" s="48"/>
      <c r="U56" s="48" t="s">
        <v>314</v>
      </c>
      <c r="V56" s="48"/>
      <c r="W56" s="48" t="s">
        <v>307</v>
      </c>
      <c r="X56" s="48"/>
      <c r="Y56" s="48"/>
      <c r="Z56" s="48"/>
      <c r="AA56" s="48"/>
      <c r="AB56" s="48"/>
      <c r="AC56" s="48"/>
      <c r="AD56" s="48"/>
      <c r="AE56" s="209"/>
      <c r="AF56" s="47" t="s">
        <v>315</v>
      </c>
      <c r="AG56" s="210" t="s">
        <v>319</v>
      </c>
      <c r="AH56" s="101" t="s">
        <v>449</v>
      </c>
      <c r="AI56" s="170">
        <v>1</v>
      </c>
      <c r="AJ56" s="170">
        <v>0</v>
      </c>
      <c r="AK56" s="170">
        <v>0</v>
      </c>
      <c r="AL56" s="170">
        <v>0</v>
      </c>
      <c r="AM56" s="170">
        <v>0</v>
      </c>
      <c r="AN56" s="170">
        <v>1</v>
      </c>
      <c r="AO56" s="170">
        <v>0</v>
      </c>
      <c r="AP56" s="170">
        <v>0</v>
      </c>
      <c r="AQ56" s="170">
        <v>0</v>
      </c>
      <c r="AR56" s="170">
        <v>0</v>
      </c>
      <c r="AS56" s="170"/>
      <c r="AT56" s="170"/>
      <c r="AU56" s="170">
        <v>0</v>
      </c>
      <c r="AV56" s="170">
        <v>0</v>
      </c>
      <c r="AW56" s="170">
        <v>0</v>
      </c>
      <c r="AX56" s="170">
        <v>0</v>
      </c>
      <c r="AY56" s="170">
        <v>1</v>
      </c>
      <c r="AZ56" s="170">
        <v>0</v>
      </c>
      <c r="BA56" s="170">
        <v>0</v>
      </c>
      <c r="BB56" s="170">
        <v>0</v>
      </c>
      <c r="BC56" s="170">
        <v>0</v>
      </c>
      <c r="BD56" s="170"/>
      <c r="BE56" s="260"/>
      <c r="BF56" s="206" t="s">
        <v>446</v>
      </c>
      <c r="BG56" s="257" t="s">
        <v>349</v>
      </c>
      <c r="BH56" s="48" t="s">
        <v>313</v>
      </c>
      <c r="BI56" s="211">
        <f>+'Info recibida'!BJ47/550</f>
        <v>0</v>
      </c>
      <c r="BJ56" s="170">
        <f>+'Info recibida'!BK47/550</f>
        <v>8000</v>
      </c>
      <c r="BK56" s="170">
        <f>+'Info recibida'!BL47/550</f>
        <v>0</v>
      </c>
      <c r="BL56" s="170">
        <f>+'Info recibida'!BM47/550</f>
        <v>0</v>
      </c>
      <c r="BM56" s="170">
        <f>+'Info recibida'!BN47/550</f>
        <v>0</v>
      </c>
      <c r="BN56" s="170">
        <f>+'Info recibida'!BO47/550</f>
        <v>0</v>
      </c>
      <c r="BO56" s="170">
        <f>+'Info recibida'!BP47/550</f>
        <v>0</v>
      </c>
      <c r="BP56" s="170">
        <f>+'Info recibida'!BQ47/550</f>
        <v>0</v>
      </c>
      <c r="BQ56" s="170">
        <f>+'Info recibida'!BR47/550</f>
        <v>0</v>
      </c>
      <c r="BR56" s="170">
        <f>+'Info recibida'!BS47/550</f>
        <v>0</v>
      </c>
      <c r="BS56" s="170">
        <f>+'Info recibida'!BT47/550</f>
        <v>8000</v>
      </c>
      <c r="BT56" s="48"/>
      <c r="BU56" s="48"/>
      <c r="BV56" s="215">
        <v>1</v>
      </c>
      <c r="BW56" s="243" t="s">
        <v>388</v>
      </c>
      <c r="BX56" s="212">
        <f>+'Info recibida'!BY47/550</f>
        <v>8000</v>
      </c>
      <c r="BY56" s="170">
        <f>+'Info recibida'!BZ47/550</f>
        <v>0</v>
      </c>
      <c r="BZ56" s="170">
        <f>+'Info recibida'!CA47/550</f>
        <v>0</v>
      </c>
      <c r="CA56" s="170">
        <f>+'Info recibida'!CB47/550</f>
        <v>10000</v>
      </c>
      <c r="CB56" s="170">
        <f>+'Info recibida'!CC47/550</f>
        <v>0</v>
      </c>
      <c r="CC56" s="170">
        <f>+'Info recibida'!CD47/550</f>
        <v>0</v>
      </c>
      <c r="CD56" s="170">
        <f>+'Info recibida'!CE47/550</f>
        <v>0</v>
      </c>
      <c r="CE56" s="170">
        <f>+'Info recibida'!CF47/550</f>
        <v>0</v>
      </c>
      <c r="CF56" s="218">
        <f>+'Info recibida'!CG47/550</f>
        <v>0</v>
      </c>
      <c r="CG56" s="213">
        <f t="shared" si="9"/>
        <v>18000</v>
      </c>
      <c r="CH56" s="217">
        <f>+'Info recibida'!CH47/550</f>
        <v>0</v>
      </c>
      <c r="CI56" s="170">
        <f>+'Info recibida'!CI47/550</f>
        <v>0</v>
      </c>
      <c r="CJ56" s="170">
        <f>+'Info recibida'!CJ47/550</f>
        <v>0</v>
      </c>
      <c r="CK56" s="170">
        <f>+'Info recibida'!CK47/550</f>
        <v>10000</v>
      </c>
      <c r="CL56" s="170">
        <f>+'Info recibida'!CL47/550</f>
        <v>0</v>
      </c>
      <c r="CM56" s="170">
        <f>+'Info recibida'!CM47/550</f>
        <v>0</v>
      </c>
      <c r="CN56" s="170">
        <f>+'Info recibida'!CN47/550</f>
        <v>0</v>
      </c>
      <c r="CO56" s="170">
        <f>+'Info recibida'!CO47/550</f>
        <v>0</v>
      </c>
      <c r="CP56" s="170">
        <f>+'Info recibida'!CP47/550</f>
        <v>0</v>
      </c>
      <c r="CQ56" s="213">
        <f>+'Info recibida'!CQ47/550</f>
        <v>10000</v>
      </c>
      <c r="CR56" s="70"/>
      <c r="CS56" s="71"/>
      <c r="CT56" s="71"/>
      <c r="CU56" s="210"/>
      <c r="CV56" s="210"/>
      <c r="CW56" s="210"/>
      <c r="CX56" s="210"/>
      <c r="CY56" s="221">
        <f>+'Info recibida'!CY47/550</f>
        <v>10000</v>
      </c>
      <c r="CZ56" s="222"/>
      <c r="DA56" s="517"/>
    </row>
    <row r="57" spans="2:112" ht="26.1" customHeight="1" thickBot="1" x14ac:dyDescent="0.3">
      <c r="B57" s="204" t="s">
        <v>49</v>
      </c>
      <c r="C57" s="205" t="s">
        <v>355</v>
      </c>
      <c r="D57" s="47" t="s">
        <v>490</v>
      </c>
      <c r="E57" s="255"/>
      <c r="F57" s="48" t="s">
        <v>399</v>
      </c>
      <c r="G57" s="48" t="s">
        <v>113</v>
      </c>
      <c r="H57" s="51" t="s">
        <v>216</v>
      </c>
      <c r="I57" s="51" t="s">
        <v>230</v>
      </c>
      <c r="J57" s="347"/>
      <c r="K57" s="348"/>
      <c r="L57" s="349"/>
      <c r="N57" s="204" t="s">
        <v>49</v>
      </c>
      <c r="O57" s="47" t="s">
        <v>50</v>
      </c>
      <c r="P57" s="48" t="s">
        <v>451</v>
      </c>
      <c r="Q57" s="48" t="s">
        <v>314</v>
      </c>
      <c r="R57" s="48" t="s">
        <v>314</v>
      </c>
      <c r="S57" s="48" t="s">
        <v>314</v>
      </c>
      <c r="T57" s="48"/>
      <c r="U57" s="48" t="s">
        <v>314</v>
      </c>
      <c r="V57" s="48"/>
      <c r="W57" s="48" t="s">
        <v>307</v>
      </c>
      <c r="X57" s="48"/>
      <c r="Y57" s="48"/>
      <c r="Z57" s="48"/>
      <c r="AA57" s="48"/>
      <c r="AB57" s="48"/>
      <c r="AC57" s="48"/>
      <c r="AD57" s="48"/>
      <c r="AE57" s="209"/>
      <c r="AF57" s="47" t="s">
        <v>315</v>
      </c>
      <c r="AG57" s="210" t="s">
        <v>319</v>
      </c>
      <c r="AH57" s="97" t="s">
        <v>452</v>
      </c>
      <c r="AI57" s="77"/>
      <c r="AJ57" s="48"/>
      <c r="AK57" s="215">
        <v>0.02</v>
      </c>
      <c r="AL57" s="215">
        <v>0.02</v>
      </c>
      <c r="AM57" s="215">
        <v>0.05</v>
      </c>
      <c r="AN57" s="215">
        <v>0.05</v>
      </c>
      <c r="AO57" s="215">
        <v>0.05</v>
      </c>
      <c r="AP57" s="215">
        <v>0.05</v>
      </c>
      <c r="AQ57" s="215">
        <v>0.05</v>
      </c>
      <c r="AR57" s="215">
        <v>0.05</v>
      </c>
      <c r="AS57" s="48"/>
      <c r="AT57" s="48"/>
      <c r="AU57" s="215">
        <v>0.05</v>
      </c>
      <c r="AV57" s="215">
        <v>0.15</v>
      </c>
      <c r="AW57" s="215">
        <v>0.2</v>
      </c>
      <c r="AX57" s="215">
        <v>0.2</v>
      </c>
      <c r="AY57" s="215">
        <v>0.2</v>
      </c>
      <c r="AZ57" s="215">
        <v>0.2</v>
      </c>
      <c r="BA57" s="48"/>
      <c r="BB57" s="48"/>
      <c r="BC57" s="48"/>
      <c r="BD57" s="48"/>
      <c r="BE57" s="94"/>
      <c r="BF57" s="206" t="s">
        <v>446</v>
      </c>
      <c r="BG57" s="257" t="s">
        <v>349</v>
      </c>
      <c r="BH57" s="48" t="s">
        <v>313</v>
      </c>
      <c r="BI57" s="211">
        <f>+'Info recibida'!BJ53/550</f>
        <v>0</v>
      </c>
      <c r="BJ57" s="170">
        <f>+'Info recibida'!BK53/550</f>
        <v>0</v>
      </c>
      <c r="BK57" s="170">
        <f>+'Info recibida'!BL53/550</f>
        <v>181.81818181818181</v>
      </c>
      <c r="BL57" s="170">
        <f>+'Info recibida'!BM53/550</f>
        <v>454.54545454545456</v>
      </c>
      <c r="BM57" s="170">
        <f>+'Info recibida'!BN53/550</f>
        <v>454.54545454545456</v>
      </c>
      <c r="BN57" s="170">
        <f>+'Info recibida'!BO53/550</f>
        <v>454.54545454545456</v>
      </c>
      <c r="BO57" s="170">
        <f>+'Info recibida'!BP53/550</f>
        <v>454.54545454545456</v>
      </c>
      <c r="BP57" s="170">
        <f>+'Info recibida'!BQ53/550</f>
        <v>454.54545454545456</v>
      </c>
      <c r="BQ57" s="170">
        <f>+'Info recibida'!BR53/550</f>
        <v>454.54545454545456</v>
      </c>
      <c r="BR57" s="170">
        <f>+'Info recibida'!BS53/550</f>
        <v>454.54545454545456</v>
      </c>
      <c r="BS57" s="170">
        <f>+'Info recibida'!BT53/550</f>
        <v>3363.6363636363635</v>
      </c>
      <c r="BT57" s="504">
        <v>1</v>
      </c>
      <c r="BU57" s="48"/>
      <c r="BV57" s="48"/>
      <c r="BW57" s="243"/>
      <c r="BX57" s="212">
        <f>+'Info recibida'!BY53/550</f>
        <v>18181.81818181818</v>
      </c>
      <c r="BY57" s="170">
        <f>+'Info recibida'!BZ53/550</f>
        <v>23636.363636363636</v>
      </c>
      <c r="BZ57" s="170">
        <f>+'Info recibida'!CA53/550</f>
        <v>21818.18181818182</v>
      </c>
      <c r="CA57" s="170">
        <f>+'Info recibida'!CB53/550</f>
        <v>0</v>
      </c>
      <c r="CB57" s="170">
        <f>+'Info recibida'!CC53/550</f>
        <v>21818.18181818182</v>
      </c>
      <c r="CC57" s="170">
        <f>+'Info recibida'!CD53/550</f>
        <v>0</v>
      </c>
      <c r="CD57" s="170">
        <f>+'Info recibida'!CE53/550</f>
        <v>21818.18181818182</v>
      </c>
      <c r="CE57" s="170">
        <f>+'Info recibida'!CF53/550</f>
        <v>0</v>
      </c>
      <c r="CF57" s="218">
        <f>+'Info recibida'!CG53/550</f>
        <v>21818.18181818182</v>
      </c>
      <c r="CG57" s="213">
        <f t="shared" si="9"/>
        <v>129090.9090909091</v>
      </c>
      <c r="CH57" s="212">
        <f>+'Info recibida'!CH53/550</f>
        <v>18181.81818181818</v>
      </c>
      <c r="CI57" s="170">
        <f>+'Info recibida'!CI53/550</f>
        <v>23454.545454545456</v>
      </c>
      <c r="CJ57" s="170">
        <f>+'Info recibida'!CJ53/550</f>
        <v>21363.636363636364</v>
      </c>
      <c r="CK57" s="170">
        <f>+'Info recibida'!CK53/550</f>
        <v>-454.54545454545456</v>
      </c>
      <c r="CL57" s="170">
        <f>+'Info recibida'!CL53/550</f>
        <v>21363.636363636364</v>
      </c>
      <c r="CM57" s="170">
        <f>+'Info recibida'!CM53/550</f>
        <v>-454.54545454545456</v>
      </c>
      <c r="CN57" s="170">
        <f>+'Info recibida'!CN53/550</f>
        <v>21363.636363636364</v>
      </c>
      <c r="CO57" s="170">
        <f>+'Info recibida'!CO53/550</f>
        <v>-454.54545454545456</v>
      </c>
      <c r="CP57" s="170">
        <f>+'Info recibida'!CP53/550</f>
        <v>21363.636363636364</v>
      </c>
      <c r="CQ57" s="213">
        <f>+'Info recibida'!CQ53/550</f>
        <v>125727.27272727272</v>
      </c>
      <c r="CR57" s="70"/>
      <c r="CS57" s="71"/>
      <c r="CT57" s="71"/>
      <c r="CU57" s="210"/>
      <c r="CV57" s="210"/>
      <c r="CW57" s="210"/>
      <c r="CX57" s="210"/>
      <c r="CY57" s="221">
        <f>+'Info recibida'!CY53/550</f>
        <v>125727.27272727272</v>
      </c>
      <c r="CZ57" s="222"/>
      <c r="DA57" s="517"/>
    </row>
    <row r="58" spans="2:112" ht="26.1" customHeight="1" x14ac:dyDescent="0.25">
      <c r="BH58" s="350"/>
      <c r="BS58" s="506">
        <f>SUM(BS4:BS57)</f>
        <v>523954302.28973883</v>
      </c>
      <c r="BT58" s="506"/>
      <c r="BU58" s="506"/>
      <c r="BV58" s="506"/>
      <c r="BW58" s="506"/>
      <c r="BX58" s="506">
        <f t="shared" ref="BX58:DH58" si="12">SUM(BX4:BX57)</f>
        <v>69671814.965441138</v>
      </c>
      <c r="BY58" s="506">
        <f t="shared" si="12"/>
        <v>88163449.153404951</v>
      </c>
      <c r="BZ58" s="506">
        <f t="shared" si="12"/>
        <v>82328771.033029795</v>
      </c>
      <c r="CA58" s="506">
        <f t="shared" si="12"/>
        <v>87504975.72576873</v>
      </c>
      <c r="CB58" s="506">
        <f t="shared" si="12"/>
        <v>90167364.673160806</v>
      </c>
      <c r="CC58" s="506">
        <f t="shared" si="12"/>
        <v>94069016.567541808</v>
      </c>
      <c r="CD58" s="506"/>
      <c r="CE58" s="506"/>
      <c r="CF58" s="506"/>
      <c r="CG58" s="506">
        <f t="shared" ref="CG58" si="13">SUM(CG4:CG57)</f>
        <v>820861809.29098797</v>
      </c>
      <c r="CH58" s="506">
        <f t="shared" ref="CH58" si="14">SUM(CH4:CH57)</f>
        <v>20968405.575321637</v>
      </c>
      <c r="CI58" s="506">
        <f t="shared" ref="CI58" si="15">SUM(CI4:CI57)</f>
        <v>25612237.488409445</v>
      </c>
      <c r="CJ58" s="506">
        <f t="shared" ref="CJ58" si="16">SUM(CJ4:CJ57)</f>
        <v>28355131.257146616</v>
      </c>
      <c r="CK58" s="506">
        <f t="shared" ref="CK58" si="17">SUM(CK4:CK57)</f>
        <v>31212090.820071574</v>
      </c>
      <c r="CL58" s="506">
        <f t="shared" ref="CL58" si="18">SUM(CL4:CL57)</f>
        <v>33536966.309379771</v>
      </c>
      <c r="CM58" s="506">
        <f t="shared" ref="CM58" si="19">SUM(CM4:CM57)</f>
        <v>36666461.082969531</v>
      </c>
      <c r="CN58" s="506">
        <f t="shared" ref="CN58" si="20">SUM(CN4:CN57)</f>
        <v>37830339.078008085</v>
      </c>
      <c r="CO58" s="506">
        <f t="shared" ref="CO58" si="21">SUM(CO4:CO57)</f>
        <v>39570607.871733889</v>
      </c>
      <c r="CP58" s="506">
        <f t="shared" ref="CP58" si="22">SUM(CP4:CP57)</f>
        <v>43275267.518208377</v>
      </c>
      <c r="CQ58" s="506">
        <f t="shared" si="12"/>
        <v>297027507.00124896</v>
      </c>
      <c r="CR58" s="506"/>
      <c r="CS58" s="506">
        <f t="shared" si="12"/>
        <v>5245800</v>
      </c>
      <c r="CT58" s="506"/>
      <c r="CU58" s="506"/>
      <c r="CV58" s="506"/>
      <c r="CW58" s="506"/>
      <c r="CX58" s="506"/>
      <c r="CY58" s="506">
        <f t="shared" si="12"/>
        <v>291979707.00124896</v>
      </c>
      <c r="CZ58" s="506"/>
      <c r="DA58" s="506"/>
      <c r="DB58" s="506"/>
      <c r="DC58" s="506"/>
      <c r="DD58" s="506"/>
      <c r="DE58" s="506"/>
      <c r="DF58" s="506"/>
      <c r="DG58" s="506"/>
      <c r="DH58" s="506">
        <f t="shared" si="12"/>
        <v>0</v>
      </c>
    </row>
    <row r="59" spans="2:112" ht="26.1" customHeight="1" x14ac:dyDescent="0.25">
      <c r="B59" s="351" t="s">
        <v>97</v>
      </c>
      <c r="C59" s="351"/>
      <c r="N59" s="610" t="s">
        <v>494</v>
      </c>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335"/>
      <c r="BI59" s="255"/>
      <c r="BJ59" s="255"/>
      <c r="BK59" s="255"/>
      <c r="BL59" s="255"/>
      <c r="BM59" s="255"/>
      <c r="BN59" s="255"/>
      <c r="BO59" s="255"/>
      <c r="BP59" s="255"/>
      <c r="BQ59" s="255"/>
      <c r="BR59" s="255"/>
      <c r="BS59" s="571" t="s">
        <v>762</v>
      </c>
      <c r="BT59" s="571" t="s">
        <v>277</v>
      </c>
      <c r="BU59" s="571"/>
      <c r="BV59" s="571"/>
      <c r="BW59" s="571"/>
      <c r="BX59" s="541"/>
      <c r="BY59" s="541"/>
      <c r="BZ59" s="541"/>
      <c r="CA59" s="541"/>
      <c r="CB59" s="541"/>
      <c r="CC59" s="541"/>
      <c r="CD59" s="541"/>
      <c r="CE59" s="541"/>
      <c r="CF59" s="541"/>
      <c r="CG59" s="571" t="s">
        <v>763</v>
      </c>
      <c r="CH59" s="541"/>
      <c r="CI59" s="541"/>
      <c r="CJ59" s="541"/>
      <c r="CK59" s="541"/>
      <c r="CL59" s="541"/>
      <c r="CM59" s="541"/>
      <c r="CN59" s="541"/>
      <c r="CO59" s="541"/>
      <c r="CP59" s="541"/>
      <c r="CQ59" s="571" t="s">
        <v>297</v>
      </c>
      <c r="CR59" s="571" t="s">
        <v>771</v>
      </c>
      <c r="CS59" s="571"/>
      <c r="CT59" s="571"/>
      <c r="CU59" s="571"/>
      <c r="CV59" s="571"/>
      <c r="CW59" s="571"/>
      <c r="CX59" s="571"/>
      <c r="CY59" s="571"/>
      <c r="CZ59" s="571"/>
    </row>
    <row r="60" spans="2:112" ht="26.1" customHeight="1" thickBot="1" x14ac:dyDescent="0.3">
      <c r="B60" s="352" t="s">
        <v>99</v>
      </c>
      <c r="C60" s="353"/>
      <c r="D60" s="93"/>
      <c r="E60" s="93"/>
      <c r="F60" s="93"/>
      <c r="G60" s="93"/>
      <c r="H60" s="540"/>
      <c r="I60" s="54" t="s">
        <v>230</v>
      </c>
      <c r="J60" s="347" t="s">
        <v>259</v>
      </c>
      <c r="K60" s="348"/>
      <c r="L60" s="349"/>
      <c r="N60" s="610"/>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571"/>
      <c r="BT60" s="526" t="s">
        <v>760</v>
      </c>
      <c r="BU60" s="526" t="s">
        <v>294</v>
      </c>
      <c r="BV60" s="526" t="s">
        <v>759</v>
      </c>
      <c r="BW60" s="526" t="s">
        <v>761</v>
      </c>
      <c r="BX60" s="526">
        <v>2017</v>
      </c>
      <c r="BY60" s="526">
        <v>2018</v>
      </c>
      <c r="BZ60" s="526">
        <v>2019</v>
      </c>
      <c r="CA60" s="526">
        <v>2020</v>
      </c>
      <c r="CB60" s="526">
        <v>2021</v>
      </c>
      <c r="CC60" s="526">
        <v>2022</v>
      </c>
      <c r="CD60" s="526">
        <v>2023</v>
      </c>
      <c r="CE60" s="526">
        <v>2024</v>
      </c>
      <c r="CF60" s="526">
        <v>2025</v>
      </c>
      <c r="CG60" s="571"/>
      <c r="CH60" s="526">
        <v>2017</v>
      </c>
      <c r="CI60" s="526">
        <v>2018</v>
      </c>
      <c r="CJ60" s="526">
        <v>2019</v>
      </c>
      <c r="CK60" s="526">
        <v>2020</v>
      </c>
      <c r="CL60" s="526">
        <v>2021</v>
      </c>
      <c r="CM60" s="526">
        <v>2022</v>
      </c>
      <c r="CN60" s="526">
        <v>2023</v>
      </c>
      <c r="CO60" s="526">
        <v>2024</v>
      </c>
      <c r="CP60" s="526">
        <v>2025</v>
      </c>
      <c r="CQ60" s="571"/>
      <c r="CR60" s="526" t="s">
        <v>298</v>
      </c>
      <c r="CS60" s="526" t="s">
        <v>299</v>
      </c>
      <c r="CT60" s="526" t="s">
        <v>300</v>
      </c>
      <c r="CU60" s="526" t="s">
        <v>301</v>
      </c>
      <c r="CV60" s="526" t="s">
        <v>302</v>
      </c>
      <c r="CW60" s="526" t="s">
        <v>303</v>
      </c>
      <c r="CX60" s="526" t="s">
        <v>304</v>
      </c>
      <c r="CY60" s="526" t="s">
        <v>305</v>
      </c>
      <c r="CZ60" s="526" t="s">
        <v>306</v>
      </c>
    </row>
    <row r="61" spans="2:112" ht="26.1" customHeight="1" x14ac:dyDescent="0.25">
      <c r="B61" s="204" t="s">
        <v>41</v>
      </c>
      <c r="C61" s="205" t="s">
        <v>357</v>
      </c>
      <c r="D61" s="93"/>
      <c r="F61" s="96"/>
      <c r="G61" s="363"/>
      <c r="H61" s="67"/>
      <c r="I61" s="67"/>
      <c r="N61" s="207" t="s">
        <v>6</v>
      </c>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417">
        <f>+BS4</f>
        <v>1155000</v>
      </c>
      <c r="BT61" s="417"/>
      <c r="BU61" s="417"/>
      <c r="BV61" s="417"/>
      <c r="BW61" s="417"/>
      <c r="BX61" s="417">
        <f t="shared" ref="BX61:CY61" si="23">+BX4</f>
        <v>565600</v>
      </c>
      <c r="BY61" s="417">
        <f t="shared" si="23"/>
        <v>786000</v>
      </c>
      <c r="BZ61" s="417">
        <f t="shared" si="23"/>
        <v>402066.66666666669</v>
      </c>
      <c r="CA61" s="417">
        <f t="shared" si="23"/>
        <v>128333.33333333327</v>
      </c>
      <c r="CB61" s="417">
        <f t="shared" si="23"/>
        <v>75000</v>
      </c>
      <c r="CC61" s="417">
        <f t="shared" si="23"/>
        <v>75000</v>
      </c>
      <c r="CD61" s="417">
        <f t="shared" si="23"/>
        <v>75000</v>
      </c>
      <c r="CE61" s="417">
        <f t="shared" si="23"/>
        <v>75000</v>
      </c>
      <c r="CF61" s="417">
        <f t="shared" si="23"/>
        <v>75000</v>
      </c>
      <c r="CG61" s="417">
        <f t="shared" si="23"/>
        <v>2257000</v>
      </c>
      <c r="CH61" s="417">
        <f t="shared" si="23"/>
        <v>330600</v>
      </c>
      <c r="CI61" s="417">
        <f t="shared" si="23"/>
        <v>551000</v>
      </c>
      <c r="CJ61" s="417">
        <f t="shared" si="23"/>
        <v>220400</v>
      </c>
      <c r="CK61" s="417">
        <f t="shared" si="23"/>
        <v>0</v>
      </c>
      <c r="CL61" s="417">
        <f t="shared" si="23"/>
        <v>0</v>
      </c>
      <c r="CM61" s="417">
        <f t="shared" si="23"/>
        <v>0</v>
      </c>
      <c r="CN61" s="417">
        <f t="shared" si="23"/>
        <v>0</v>
      </c>
      <c r="CO61" s="417">
        <f t="shared" si="23"/>
        <v>0</v>
      </c>
      <c r="CP61" s="417">
        <f t="shared" si="23"/>
        <v>0</v>
      </c>
      <c r="CQ61" s="417">
        <f t="shared" si="23"/>
        <v>1102000</v>
      </c>
      <c r="CR61" s="417"/>
      <c r="CS61" s="417">
        <f t="shared" si="23"/>
        <v>1102000</v>
      </c>
      <c r="CT61" s="417"/>
      <c r="CU61" s="417"/>
      <c r="CV61" s="417"/>
      <c r="CW61" s="417"/>
      <c r="CX61" s="417"/>
      <c r="CY61" s="417">
        <f t="shared" si="23"/>
        <v>0</v>
      </c>
      <c r="CZ61" s="255"/>
    </row>
    <row r="62" spans="2:112" x14ac:dyDescent="0.25">
      <c r="G62" s="363"/>
      <c r="N62" s="207" t="s">
        <v>492</v>
      </c>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417">
        <f>+BS5</f>
        <v>0</v>
      </c>
      <c r="BT62" s="417"/>
      <c r="BU62" s="417"/>
      <c r="BV62" s="417"/>
      <c r="BW62" s="417"/>
      <c r="BX62" s="417">
        <f t="shared" ref="BX62:CY62" si="24">+BX5</f>
        <v>200000</v>
      </c>
      <c r="BY62" s="417">
        <f t="shared" si="24"/>
        <v>0</v>
      </c>
      <c r="BZ62" s="417">
        <f t="shared" si="24"/>
        <v>0</v>
      </c>
      <c r="CA62" s="417">
        <f t="shared" si="24"/>
        <v>0</v>
      </c>
      <c r="CB62" s="417">
        <f t="shared" si="24"/>
        <v>0</v>
      </c>
      <c r="CC62" s="417">
        <f t="shared" si="24"/>
        <v>0</v>
      </c>
      <c r="CD62" s="417">
        <f t="shared" si="24"/>
        <v>0</v>
      </c>
      <c r="CE62" s="417">
        <f t="shared" si="24"/>
        <v>0</v>
      </c>
      <c r="CF62" s="417">
        <f t="shared" si="24"/>
        <v>0</v>
      </c>
      <c r="CG62" s="417">
        <f t="shared" si="24"/>
        <v>200000</v>
      </c>
      <c r="CH62" s="417">
        <f t="shared" si="24"/>
        <v>200000</v>
      </c>
      <c r="CI62" s="417">
        <f t="shared" si="24"/>
        <v>0</v>
      </c>
      <c r="CJ62" s="417">
        <f t="shared" si="24"/>
        <v>0</v>
      </c>
      <c r="CK62" s="417">
        <f t="shared" si="24"/>
        <v>0</v>
      </c>
      <c r="CL62" s="417">
        <f t="shared" si="24"/>
        <v>0</v>
      </c>
      <c r="CM62" s="417">
        <f t="shared" si="24"/>
        <v>0</v>
      </c>
      <c r="CN62" s="417">
        <f t="shared" si="24"/>
        <v>0</v>
      </c>
      <c r="CO62" s="417">
        <f t="shared" si="24"/>
        <v>0</v>
      </c>
      <c r="CP62" s="417">
        <f t="shared" si="24"/>
        <v>0</v>
      </c>
      <c r="CQ62" s="417">
        <f t="shared" si="24"/>
        <v>200000</v>
      </c>
      <c r="CR62" s="417"/>
      <c r="CS62" s="417">
        <f t="shared" si="24"/>
        <v>200000</v>
      </c>
      <c r="CT62" s="417"/>
      <c r="CU62" s="417"/>
      <c r="CV62" s="417"/>
      <c r="CW62" s="417"/>
      <c r="CX62" s="417"/>
      <c r="CY62" s="417">
        <f t="shared" si="24"/>
        <v>0</v>
      </c>
      <c r="CZ62" s="255"/>
    </row>
    <row r="63" spans="2:112" x14ac:dyDescent="0.25">
      <c r="G63" s="363"/>
      <c r="N63" s="207" t="s">
        <v>463</v>
      </c>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417">
        <f>+BS6</f>
        <v>0</v>
      </c>
      <c r="BT63" s="417"/>
      <c r="BU63" s="417"/>
      <c r="BV63" s="417"/>
      <c r="BW63" s="417"/>
      <c r="BX63" s="417">
        <f t="shared" ref="BX63:CY63" si="25">+BX6</f>
        <v>60000</v>
      </c>
      <c r="BY63" s="417">
        <f t="shared" si="25"/>
        <v>60000</v>
      </c>
      <c r="BZ63" s="417">
        <f t="shared" si="25"/>
        <v>0</v>
      </c>
      <c r="CA63" s="417">
        <f t="shared" si="25"/>
        <v>0</v>
      </c>
      <c r="CB63" s="417">
        <f t="shared" si="25"/>
        <v>0</v>
      </c>
      <c r="CC63" s="417">
        <f t="shared" si="25"/>
        <v>0</v>
      </c>
      <c r="CD63" s="417">
        <f t="shared" si="25"/>
        <v>0</v>
      </c>
      <c r="CE63" s="417">
        <f t="shared" si="25"/>
        <v>0</v>
      </c>
      <c r="CF63" s="417">
        <f t="shared" si="25"/>
        <v>0</v>
      </c>
      <c r="CG63" s="417">
        <f t="shared" si="25"/>
        <v>0</v>
      </c>
      <c r="CH63" s="417">
        <f t="shared" si="25"/>
        <v>60000</v>
      </c>
      <c r="CI63" s="417">
        <f t="shared" si="25"/>
        <v>60000</v>
      </c>
      <c r="CJ63" s="417">
        <f t="shared" si="25"/>
        <v>0</v>
      </c>
      <c r="CK63" s="417">
        <f t="shared" si="25"/>
        <v>0</v>
      </c>
      <c r="CL63" s="417">
        <f t="shared" si="25"/>
        <v>0</v>
      </c>
      <c r="CM63" s="417">
        <f t="shared" si="25"/>
        <v>0</v>
      </c>
      <c r="CN63" s="417">
        <f t="shared" si="25"/>
        <v>0</v>
      </c>
      <c r="CO63" s="417">
        <f t="shared" si="25"/>
        <v>0</v>
      </c>
      <c r="CP63" s="417">
        <f t="shared" si="25"/>
        <v>0</v>
      </c>
      <c r="CQ63" s="417">
        <f t="shared" si="25"/>
        <v>120000</v>
      </c>
      <c r="CR63" s="417"/>
      <c r="CS63" s="417">
        <f t="shared" si="25"/>
        <v>198000</v>
      </c>
      <c r="CT63" s="417"/>
      <c r="CU63" s="417"/>
      <c r="CV63" s="417"/>
      <c r="CW63" s="417"/>
      <c r="CX63" s="417"/>
      <c r="CY63" s="417">
        <f t="shared" si="25"/>
        <v>120000</v>
      </c>
      <c r="CZ63" s="255"/>
    </row>
    <row r="64" spans="2:112" x14ac:dyDescent="0.25">
      <c r="G64" s="363"/>
      <c r="N64" s="207" t="s">
        <v>3</v>
      </c>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417">
        <f>SUM(BS7:BS9)</f>
        <v>368482873.46923262</v>
      </c>
      <c r="BT64" s="417"/>
      <c r="BU64" s="417"/>
      <c r="BV64" s="417"/>
      <c r="BW64" s="417"/>
      <c r="BX64" s="417">
        <f t="shared" ref="BX64:CY64" si="26">SUM(BX7:BX9)</f>
        <v>50814315.503326625</v>
      </c>
      <c r="BY64" s="417">
        <f t="shared" si="26"/>
        <v>64582564.365795709</v>
      </c>
      <c r="BZ64" s="417">
        <f t="shared" si="26"/>
        <v>59562646.48884102</v>
      </c>
      <c r="CA64" s="417">
        <f t="shared" si="26"/>
        <v>63674923.34485051</v>
      </c>
      <c r="CB64" s="417">
        <f t="shared" si="26"/>
        <v>65227072.853475012</v>
      </c>
      <c r="CC64" s="417">
        <f t="shared" si="26"/>
        <v>68170460.448236272</v>
      </c>
      <c r="CD64" s="417">
        <f t="shared" si="26"/>
        <v>70834665.564678699</v>
      </c>
      <c r="CE64" s="417">
        <f t="shared" si="26"/>
        <v>73534251.896995842</v>
      </c>
      <c r="CF64" s="417">
        <f t="shared" si="26"/>
        <v>78338553.788802847</v>
      </c>
      <c r="CG64" s="417">
        <f t="shared" si="26"/>
        <v>594739454.2550025</v>
      </c>
      <c r="CH64" s="417">
        <f t="shared" si="26"/>
        <v>16651222.940507986</v>
      </c>
      <c r="CI64" s="417">
        <f t="shared" si="26"/>
        <v>19035876.422542546</v>
      </c>
      <c r="CJ64" s="417">
        <f t="shared" si="26"/>
        <v>22374898.46948145</v>
      </c>
      <c r="CK64" s="417">
        <f t="shared" si="26"/>
        <v>23990783.492415454</v>
      </c>
      <c r="CL64" s="417">
        <f t="shared" si="26"/>
        <v>25606990.304859277</v>
      </c>
      <c r="CM64" s="417">
        <f t="shared" si="26"/>
        <v>28223892.196862206</v>
      </c>
      <c r="CN64" s="417">
        <f t="shared" si="26"/>
        <v>28840408.202629033</v>
      </c>
      <c r="CO64" s="417">
        <f t="shared" si="26"/>
        <v>29457275.836481739</v>
      </c>
      <c r="CP64" s="417">
        <f t="shared" si="26"/>
        <v>32075232.919990204</v>
      </c>
      <c r="CQ64" s="417">
        <f t="shared" si="26"/>
        <v>226256580.78576994</v>
      </c>
      <c r="CR64" s="417"/>
      <c r="CS64" s="417">
        <f t="shared" si="26"/>
        <v>796300</v>
      </c>
      <c r="CT64" s="417"/>
      <c r="CU64" s="417"/>
      <c r="CV64" s="417"/>
      <c r="CW64" s="417"/>
      <c r="CX64" s="417"/>
      <c r="CY64" s="417">
        <f t="shared" si="26"/>
        <v>225460280.78576994</v>
      </c>
      <c r="CZ64" s="255"/>
    </row>
    <row r="65" spans="7:104" x14ac:dyDescent="0.25">
      <c r="G65" s="363"/>
      <c r="N65" s="207" t="s">
        <v>289</v>
      </c>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417">
        <f>+BS10</f>
        <v>0</v>
      </c>
      <c r="BT65" s="417"/>
      <c r="BU65" s="417"/>
      <c r="BV65" s="417"/>
      <c r="BW65" s="417"/>
      <c r="BX65" s="417">
        <f t="shared" ref="BX65:CY65" si="27">+BX10</f>
        <v>119000</v>
      </c>
      <c r="BY65" s="417">
        <f t="shared" si="27"/>
        <v>119000</v>
      </c>
      <c r="BZ65" s="417">
        <f t="shared" si="27"/>
        <v>0</v>
      </c>
      <c r="CA65" s="417">
        <f t="shared" si="27"/>
        <v>0</v>
      </c>
      <c r="CB65" s="417">
        <f t="shared" si="27"/>
        <v>0</v>
      </c>
      <c r="CC65" s="417">
        <f t="shared" si="27"/>
        <v>0</v>
      </c>
      <c r="CD65" s="417">
        <f t="shared" si="27"/>
        <v>0</v>
      </c>
      <c r="CE65" s="417">
        <f t="shared" si="27"/>
        <v>0</v>
      </c>
      <c r="CF65" s="417">
        <f t="shared" si="27"/>
        <v>0</v>
      </c>
      <c r="CG65" s="417">
        <f t="shared" si="27"/>
        <v>238000</v>
      </c>
      <c r="CH65" s="417">
        <f t="shared" si="27"/>
        <v>119000</v>
      </c>
      <c r="CI65" s="417">
        <f t="shared" si="27"/>
        <v>119000</v>
      </c>
      <c r="CJ65" s="417">
        <f t="shared" si="27"/>
        <v>0</v>
      </c>
      <c r="CK65" s="417">
        <f t="shared" si="27"/>
        <v>0</v>
      </c>
      <c r="CL65" s="417">
        <f t="shared" si="27"/>
        <v>0</v>
      </c>
      <c r="CM65" s="417">
        <f t="shared" si="27"/>
        <v>0</v>
      </c>
      <c r="CN65" s="417">
        <f t="shared" si="27"/>
        <v>0</v>
      </c>
      <c r="CO65" s="417">
        <f t="shared" si="27"/>
        <v>0</v>
      </c>
      <c r="CP65" s="417">
        <f t="shared" si="27"/>
        <v>0</v>
      </c>
      <c r="CQ65" s="417">
        <f t="shared" si="27"/>
        <v>238000</v>
      </c>
      <c r="CR65" s="417"/>
      <c r="CS65" s="417">
        <f t="shared" si="27"/>
        <v>238000</v>
      </c>
      <c r="CT65" s="417"/>
      <c r="CU65" s="417"/>
      <c r="CV65" s="417"/>
      <c r="CW65" s="417"/>
      <c r="CX65" s="417"/>
      <c r="CY65" s="417">
        <f t="shared" si="27"/>
        <v>0</v>
      </c>
      <c r="CZ65" s="255"/>
    </row>
    <row r="66" spans="7:104" x14ac:dyDescent="0.25">
      <c r="G66" s="363"/>
      <c r="N66" s="207" t="s">
        <v>5</v>
      </c>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417">
        <f>SUM(BS11:BS12)</f>
        <v>78473.249622226809</v>
      </c>
      <c r="BT66" s="417"/>
      <c r="BU66" s="417"/>
      <c r="BV66" s="417"/>
      <c r="BW66" s="417"/>
      <c r="BX66" s="417">
        <f t="shared" ref="BX66:CY66" si="28">SUM(BX11:BX12)</f>
        <v>21221.81818181818</v>
      </c>
      <c r="BY66" s="417">
        <f t="shared" si="28"/>
        <v>27242.727272727272</v>
      </c>
      <c r="BZ66" s="417">
        <f t="shared" si="28"/>
        <v>28032.13636363636</v>
      </c>
      <c r="CA66" s="417">
        <f t="shared" si="28"/>
        <v>28861.015909090907</v>
      </c>
      <c r="CB66" s="417">
        <f t="shared" si="28"/>
        <v>29731.339431818182</v>
      </c>
      <c r="CC66" s="417">
        <f t="shared" si="28"/>
        <v>30645.17913068182</v>
      </c>
      <c r="CD66" s="417">
        <f t="shared" si="28"/>
        <v>31604.710814488637</v>
      </c>
      <c r="CE66" s="417">
        <f t="shared" si="28"/>
        <v>32612.219082485797</v>
      </c>
      <c r="CF66" s="417">
        <f t="shared" si="28"/>
        <v>33670.102763882816</v>
      </c>
      <c r="CG66" s="417">
        <f t="shared" si="28"/>
        <v>263621.24895062996</v>
      </c>
      <c r="CH66" s="417">
        <f t="shared" si="28"/>
        <v>15350.545454545456</v>
      </c>
      <c r="CI66" s="417">
        <f t="shared" si="28"/>
        <v>19268.072727272727</v>
      </c>
      <c r="CJ66" s="417">
        <f t="shared" si="28"/>
        <v>19773.294545454548</v>
      </c>
      <c r="CK66" s="417">
        <f t="shared" si="28"/>
        <v>20303.777454545452</v>
      </c>
      <c r="CL66" s="417">
        <f t="shared" si="28"/>
        <v>20860.78450909091</v>
      </c>
      <c r="CM66" s="417">
        <f t="shared" si="28"/>
        <v>21445.641916363638</v>
      </c>
      <c r="CN66" s="417">
        <f t="shared" si="28"/>
        <v>22059.742193999999</v>
      </c>
      <c r="CO66" s="417">
        <f t="shared" si="28"/>
        <v>22704.547485518182</v>
      </c>
      <c r="CP66" s="417">
        <f t="shared" si="28"/>
        <v>23381.593041612272</v>
      </c>
      <c r="CQ66" s="417">
        <f t="shared" si="28"/>
        <v>185147.99932840318</v>
      </c>
      <c r="CR66" s="417"/>
      <c r="CS66" s="417">
        <f t="shared" si="28"/>
        <v>89000</v>
      </c>
      <c r="CT66" s="417"/>
      <c r="CU66" s="417"/>
      <c r="CV66" s="417"/>
      <c r="CW66" s="417"/>
      <c r="CX66" s="417"/>
      <c r="CY66" s="417">
        <f t="shared" si="28"/>
        <v>96147.999328403181</v>
      </c>
      <c r="CZ66" s="255"/>
    </row>
    <row r="67" spans="7:104" x14ac:dyDescent="0.25">
      <c r="G67" s="363"/>
      <c r="N67" s="207" t="s">
        <v>9</v>
      </c>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417">
        <f>SUM(BS13:BS14)</f>
        <v>30000000</v>
      </c>
      <c r="BT67" s="417"/>
      <c r="BU67" s="417"/>
      <c r="BV67" s="417"/>
      <c r="BW67" s="417"/>
      <c r="BX67" s="417">
        <f t="shared" ref="BX67:CY67" si="29">SUM(BX13:BX14)</f>
        <v>0</v>
      </c>
      <c r="BY67" s="417">
        <f t="shared" si="29"/>
        <v>5000000</v>
      </c>
      <c r="BZ67" s="417">
        <f t="shared" si="29"/>
        <v>5000000</v>
      </c>
      <c r="CA67" s="417">
        <f t="shared" si="29"/>
        <v>5000000</v>
      </c>
      <c r="CB67" s="417">
        <f t="shared" si="29"/>
        <v>5000000</v>
      </c>
      <c r="CC67" s="417">
        <f t="shared" si="29"/>
        <v>5000000</v>
      </c>
      <c r="CD67" s="417">
        <f t="shared" si="29"/>
        <v>5000000</v>
      </c>
      <c r="CE67" s="417">
        <f t="shared" si="29"/>
        <v>5000000</v>
      </c>
      <c r="CF67" s="417">
        <f t="shared" si="29"/>
        <v>5000000</v>
      </c>
      <c r="CG67" s="417">
        <f t="shared" si="29"/>
        <v>40000000</v>
      </c>
      <c r="CH67" s="417">
        <f t="shared" si="29"/>
        <v>0</v>
      </c>
      <c r="CI67" s="417">
        <f t="shared" si="29"/>
        <v>1250000</v>
      </c>
      <c r="CJ67" s="417">
        <f t="shared" si="29"/>
        <v>1250000</v>
      </c>
      <c r="CK67" s="417">
        <f t="shared" si="29"/>
        <v>1250000</v>
      </c>
      <c r="CL67" s="417">
        <f t="shared" si="29"/>
        <v>1250000</v>
      </c>
      <c r="CM67" s="417">
        <f t="shared" si="29"/>
        <v>1250000</v>
      </c>
      <c r="CN67" s="417">
        <f t="shared" si="29"/>
        <v>1250000</v>
      </c>
      <c r="CO67" s="417">
        <f t="shared" si="29"/>
        <v>1250000</v>
      </c>
      <c r="CP67" s="417">
        <f t="shared" si="29"/>
        <v>1250000</v>
      </c>
      <c r="CQ67" s="417">
        <f t="shared" si="29"/>
        <v>10000000</v>
      </c>
      <c r="CR67" s="417"/>
      <c r="CS67" s="417">
        <f t="shared" si="29"/>
        <v>0</v>
      </c>
      <c r="CT67" s="417"/>
      <c r="CU67" s="417"/>
      <c r="CV67" s="417"/>
      <c r="CW67" s="417"/>
      <c r="CX67" s="417"/>
      <c r="CY67" s="417">
        <f t="shared" si="29"/>
        <v>10000000</v>
      </c>
      <c r="CZ67" s="255"/>
    </row>
    <row r="68" spans="7:104" x14ac:dyDescent="0.25">
      <c r="G68" s="363"/>
      <c r="N68" s="207" t="s">
        <v>1</v>
      </c>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417">
        <f>SUM(BS15:BS16)</f>
        <v>0</v>
      </c>
      <c r="BT68" s="417"/>
      <c r="BU68" s="417"/>
      <c r="BV68" s="417"/>
      <c r="BW68" s="417"/>
      <c r="BX68" s="417">
        <f t="shared" ref="BX68:CY68" si="30">SUM(BX15:BX16)</f>
        <v>26000</v>
      </c>
      <c r="BY68" s="417">
        <f t="shared" si="30"/>
        <v>36000</v>
      </c>
      <c r="BZ68" s="417">
        <f t="shared" si="30"/>
        <v>36000</v>
      </c>
      <c r="CA68" s="417">
        <f t="shared" si="30"/>
        <v>0</v>
      </c>
      <c r="CB68" s="417">
        <f t="shared" si="30"/>
        <v>0</v>
      </c>
      <c r="CC68" s="417">
        <f t="shared" si="30"/>
        <v>0</v>
      </c>
      <c r="CD68" s="417">
        <f t="shared" si="30"/>
        <v>0</v>
      </c>
      <c r="CE68" s="417">
        <f t="shared" si="30"/>
        <v>0</v>
      </c>
      <c r="CF68" s="417">
        <f t="shared" si="30"/>
        <v>0</v>
      </c>
      <c r="CG68" s="417">
        <f t="shared" si="30"/>
        <v>98000</v>
      </c>
      <c r="CH68" s="417">
        <f t="shared" si="30"/>
        <v>26000</v>
      </c>
      <c r="CI68" s="417">
        <f t="shared" si="30"/>
        <v>36000</v>
      </c>
      <c r="CJ68" s="417">
        <f t="shared" si="30"/>
        <v>36000</v>
      </c>
      <c r="CK68" s="417">
        <f t="shared" si="30"/>
        <v>0</v>
      </c>
      <c r="CL68" s="417">
        <f t="shared" si="30"/>
        <v>0</v>
      </c>
      <c r="CM68" s="417">
        <f t="shared" si="30"/>
        <v>0</v>
      </c>
      <c r="CN68" s="417">
        <f t="shared" si="30"/>
        <v>0</v>
      </c>
      <c r="CO68" s="417">
        <f t="shared" si="30"/>
        <v>0</v>
      </c>
      <c r="CP68" s="417">
        <f t="shared" si="30"/>
        <v>0</v>
      </c>
      <c r="CQ68" s="417">
        <f t="shared" si="30"/>
        <v>98000</v>
      </c>
      <c r="CR68" s="417"/>
      <c r="CS68" s="417">
        <f t="shared" si="30"/>
        <v>98000</v>
      </c>
      <c r="CT68" s="417"/>
      <c r="CU68" s="417"/>
      <c r="CV68" s="417"/>
      <c r="CW68" s="417"/>
      <c r="CX68" s="417"/>
      <c r="CY68" s="417">
        <f t="shared" si="30"/>
        <v>0</v>
      </c>
      <c r="CZ68" s="255"/>
    </row>
    <row r="69" spans="7:104" x14ac:dyDescent="0.25">
      <c r="G69" s="363"/>
      <c r="N69" s="207" t="s">
        <v>2</v>
      </c>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417">
        <f>SUM(BS17:BS29)</f>
        <v>0</v>
      </c>
      <c r="BT69" s="417"/>
      <c r="BU69" s="417"/>
      <c r="BV69" s="417"/>
      <c r="BW69" s="417"/>
      <c r="BX69" s="417">
        <f t="shared" ref="BX69:CY69" si="31">SUM(BX17:BX29)</f>
        <v>350872.72727272729</v>
      </c>
      <c r="BY69" s="417">
        <f t="shared" si="31"/>
        <v>180224.72727272726</v>
      </c>
      <c r="BZ69" s="417">
        <f t="shared" si="31"/>
        <v>166603.76727272724</v>
      </c>
      <c r="CA69" s="417">
        <f t="shared" si="31"/>
        <v>123010.38807272728</v>
      </c>
      <c r="CB69" s="417">
        <f t="shared" si="31"/>
        <v>169445.14128872726</v>
      </c>
      <c r="CC69" s="417">
        <f t="shared" si="31"/>
        <v>125908.58956904728</v>
      </c>
      <c r="CD69" s="417">
        <f t="shared" si="31"/>
        <v>127401.30681497368</v>
      </c>
      <c r="CE69" s="417">
        <f t="shared" si="31"/>
        <v>128923.87840581861</v>
      </c>
      <c r="CF69" s="417">
        <f t="shared" si="31"/>
        <v>130476.90142848044</v>
      </c>
      <c r="CG69" s="417">
        <f t="shared" si="31"/>
        <v>1502867.4273979564</v>
      </c>
      <c r="CH69" s="417">
        <f t="shared" si="31"/>
        <v>350872.72727272729</v>
      </c>
      <c r="CI69" s="417">
        <f t="shared" si="31"/>
        <v>180224.72727272726</v>
      </c>
      <c r="CJ69" s="417">
        <f t="shared" si="31"/>
        <v>166603.76727272724</v>
      </c>
      <c r="CK69" s="417">
        <f t="shared" si="31"/>
        <v>123010.38807272728</v>
      </c>
      <c r="CL69" s="417">
        <f t="shared" si="31"/>
        <v>169445.14128872726</v>
      </c>
      <c r="CM69" s="417">
        <f t="shared" si="31"/>
        <v>125908.58956904728</v>
      </c>
      <c r="CN69" s="417">
        <f t="shared" si="31"/>
        <v>127401.30681497368</v>
      </c>
      <c r="CO69" s="417">
        <f t="shared" si="31"/>
        <v>128923.87840581861</v>
      </c>
      <c r="CP69" s="417">
        <f t="shared" si="31"/>
        <v>130476.90142848044</v>
      </c>
      <c r="CQ69" s="417">
        <f t="shared" si="31"/>
        <v>1502867.4273979561</v>
      </c>
      <c r="CR69" s="417"/>
      <c r="CS69" s="417">
        <f t="shared" si="31"/>
        <v>701500</v>
      </c>
      <c r="CT69" s="417"/>
      <c r="CU69" s="417"/>
      <c r="CV69" s="417"/>
      <c r="CW69" s="417"/>
      <c r="CX69" s="417"/>
      <c r="CY69" s="417">
        <f t="shared" si="31"/>
        <v>801367.42739795626</v>
      </c>
      <c r="CZ69" s="255"/>
    </row>
    <row r="70" spans="7:104" x14ac:dyDescent="0.25">
      <c r="G70" s="363"/>
      <c r="N70" s="207" t="s">
        <v>4</v>
      </c>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417">
        <f>SUM(BS30:BS55)</f>
        <v>124226591.9345205</v>
      </c>
      <c r="BT70" s="417"/>
      <c r="BU70" s="417"/>
      <c r="BV70" s="417"/>
      <c r="BW70" s="417"/>
      <c r="BX70" s="417">
        <f t="shared" ref="BX70:CY70" si="32">SUM(BX30:BX55)</f>
        <v>17488623.098478172</v>
      </c>
      <c r="BY70" s="417">
        <f t="shared" si="32"/>
        <v>17348780.969427425</v>
      </c>
      <c r="BZ70" s="417">
        <f t="shared" si="32"/>
        <v>17111603.792067569</v>
      </c>
      <c r="CA70" s="417">
        <f t="shared" si="32"/>
        <v>18539847.643603072</v>
      </c>
      <c r="CB70" s="417">
        <f t="shared" si="32"/>
        <v>19644297.157147061</v>
      </c>
      <c r="CC70" s="417">
        <f t="shared" si="32"/>
        <v>20667002.350605786</v>
      </c>
      <c r="CD70" s="417">
        <f t="shared" si="32"/>
        <v>21897378.25636702</v>
      </c>
      <c r="CE70" s="417">
        <f t="shared" si="32"/>
        <v>23437669.209487073</v>
      </c>
      <c r="CF70" s="417">
        <f t="shared" si="32"/>
        <v>25280572.973362725</v>
      </c>
      <c r="CG70" s="417">
        <f t="shared" si="32"/>
        <v>181415775.45054597</v>
      </c>
      <c r="CH70" s="417">
        <f t="shared" si="32"/>
        <v>3197177.5439045634</v>
      </c>
      <c r="CI70" s="417">
        <f t="shared" si="32"/>
        <v>4337413.7204123465</v>
      </c>
      <c r="CJ70" s="417">
        <f t="shared" si="32"/>
        <v>4266092.0894833524</v>
      </c>
      <c r="CK70" s="417">
        <f t="shared" si="32"/>
        <v>5818447.707583392</v>
      </c>
      <c r="CL70" s="417">
        <f t="shared" si="32"/>
        <v>6468306.4423590405</v>
      </c>
      <c r="CM70" s="417">
        <f t="shared" si="32"/>
        <v>7045669.2000764543</v>
      </c>
      <c r="CN70" s="417">
        <f t="shared" si="32"/>
        <v>7569106.1900064358</v>
      </c>
      <c r="CO70" s="417">
        <f t="shared" si="32"/>
        <v>8712158.154815359</v>
      </c>
      <c r="CP70" s="417">
        <f t="shared" si="32"/>
        <v>9774812.467384452</v>
      </c>
      <c r="CQ70" s="417">
        <f t="shared" si="32"/>
        <v>57189183.516025394</v>
      </c>
      <c r="CR70" s="417"/>
      <c r="CS70" s="417">
        <f t="shared" si="32"/>
        <v>1823000</v>
      </c>
      <c r="CT70" s="417"/>
      <c r="CU70" s="417"/>
      <c r="CV70" s="417"/>
      <c r="CW70" s="417"/>
      <c r="CX70" s="417"/>
      <c r="CY70" s="417">
        <f t="shared" si="32"/>
        <v>55366183.516025394</v>
      </c>
      <c r="CZ70" s="255"/>
    </row>
    <row r="71" spans="7:104" x14ac:dyDescent="0.25">
      <c r="G71" s="363"/>
      <c r="N71" s="207" t="s">
        <v>44</v>
      </c>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417">
        <f>+BS56</f>
        <v>8000</v>
      </c>
      <c r="BT71" s="417"/>
      <c r="BU71" s="417"/>
      <c r="BV71" s="417"/>
      <c r="BW71" s="417"/>
      <c r="BX71" s="417">
        <f t="shared" ref="BX71:CY71" si="33">+BX56</f>
        <v>8000</v>
      </c>
      <c r="BY71" s="417">
        <f t="shared" si="33"/>
        <v>0</v>
      </c>
      <c r="BZ71" s="417">
        <f t="shared" si="33"/>
        <v>0</v>
      </c>
      <c r="CA71" s="417">
        <f t="shared" si="33"/>
        <v>10000</v>
      </c>
      <c r="CB71" s="417">
        <f t="shared" si="33"/>
        <v>0</v>
      </c>
      <c r="CC71" s="417">
        <f t="shared" si="33"/>
        <v>0</v>
      </c>
      <c r="CD71" s="417">
        <f t="shared" si="33"/>
        <v>0</v>
      </c>
      <c r="CE71" s="417">
        <f t="shared" si="33"/>
        <v>0</v>
      </c>
      <c r="CF71" s="417">
        <f t="shared" si="33"/>
        <v>0</v>
      </c>
      <c r="CG71" s="417">
        <f t="shared" si="33"/>
        <v>18000</v>
      </c>
      <c r="CH71" s="417">
        <f t="shared" si="33"/>
        <v>0</v>
      </c>
      <c r="CI71" s="417">
        <f t="shared" si="33"/>
        <v>0</v>
      </c>
      <c r="CJ71" s="417">
        <f t="shared" si="33"/>
        <v>0</v>
      </c>
      <c r="CK71" s="417">
        <f t="shared" si="33"/>
        <v>10000</v>
      </c>
      <c r="CL71" s="417">
        <f t="shared" si="33"/>
        <v>0</v>
      </c>
      <c r="CM71" s="417">
        <f t="shared" si="33"/>
        <v>0</v>
      </c>
      <c r="CN71" s="417">
        <f t="shared" si="33"/>
        <v>0</v>
      </c>
      <c r="CO71" s="417">
        <f t="shared" si="33"/>
        <v>0</v>
      </c>
      <c r="CP71" s="417">
        <f t="shared" si="33"/>
        <v>0</v>
      </c>
      <c r="CQ71" s="417">
        <f t="shared" si="33"/>
        <v>10000</v>
      </c>
      <c r="CR71" s="417"/>
      <c r="CS71" s="417">
        <f t="shared" si="33"/>
        <v>0</v>
      </c>
      <c r="CT71" s="417"/>
      <c r="CU71" s="417"/>
      <c r="CV71" s="417"/>
      <c r="CW71" s="417"/>
      <c r="CX71" s="417"/>
      <c r="CY71" s="417">
        <f t="shared" si="33"/>
        <v>10000</v>
      </c>
      <c r="CZ71" s="255"/>
    </row>
    <row r="72" spans="7:104" x14ac:dyDescent="0.25">
      <c r="G72" s="363"/>
      <c r="N72" s="207" t="s">
        <v>490</v>
      </c>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417">
        <f>+BS57</f>
        <v>3363.6363636363635</v>
      </c>
      <c r="BT72" s="417"/>
      <c r="BU72" s="417"/>
      <c r="BV72" s="417"/>
      <c r="BW72" s="417"/>
      <c r="BX72" s="417">
        <f t="shared" ref="BX72:CY72" si="34">+BX57</f>
        <v>18181.81818181818</v>
      </c>
      <c r="BY72" s="417">
        <f t="shared" si="34"/>
        <v>23636.363636363636</v>
      </c>
      <c r="BZ72" s="417">
        <f t="shared" si="34"/>
        <v>21818.18181818182</v>
      </c>
      <c r="CA72" s="417">
        <f t="shared" si="34"/>
        <v>0</v>
      </c>
      <c r="CB72" s="417">
        <f t="shared" si="34"/>
        <v>21818.18181818182</v>
      </c>
      <c r="CC72" s="417">
        <f t="shared" si="34"/>
        <v>0</v>
      </c>
      <c r="CD72" s="417">
        <f t="shared" si="34"/>
        <v>21818.18181818182</v>
      </c>
      <c r="CE72" s="417">
        <f t="shared" si="34"/>
        <v>0</v>
      </c>
      <c r="CF72" s="417">
        <f t="shared" si="34"/>
        <v>21818.18181818182</v>
      </c>
      <c r="CG72" s="417">
        <f t="shared" si="34"/>
        <v>129090.9090909091</v>
      </c>
      <c r="CH72" s="417">
        <f t="shared" si="34"/>
        <v>18181.81818181818</v>
      </c>
      <c r="CI72" s="417">
        <f t="shared" si="34"/>
        <v>23454.545454545456</v>
      </c>
      <c r="CJ72" s="417">
        <f t="shared" si="34"/>
        <v>21363.636363636364</v>
      </c>
      <c r="CK72" s="417">
        <f t="shared" si="34"/>
        <v>-454.54545454545456</v>
      </c>
      <c r="CL72" s="417">
        <f t="shared" si="34"/>
        <v>21363.636363636364</v>
      </c>
      <c r="CM72" s="417">
        <f t="shared" si="34"/>
        <v>-454.54545454545456</v>
      </c>
      <c r="CN72" s="417">
        <f t="shared" si="34"/>
        <v>21363.636363636364</v>
      </c>
      <c r="CO72" s="417">
        <f t="shared" si="34"/>
        <v>-454.54545454545456</v>
      </c>
      <c r="CP72" s="417">
        <f t="shared" si="34"/>
        <v>21363.636363636364</v>
      </c>
      <c r="CQ72" s="417">
        <f t="shared" si="34"/>
        <v>125727.27272727272</v>
      </c>
      <c r="CR72" s="417"/>
      <c r="CS72" s="417">
        <f t="shared" si="34"/>
        <v>0</v>
      </c>
      <c r="CT72" s="417"/>
      <c r="CU72" s="417"/>
      <c r="CV72" s="417"/>
      <c r="CW72" s="417"/>
      <c r="CX72" s="417"/>
      <c r="CY72" s="417">
        <f t="shared" si="34"/>
        <v>125727.27272727272</v>
      </c>
      <c r="CZ72" s="255"/>
    </row>
    <row r="73" spans="7:104" x14ac:dyDescent="0.25">
      <c r="N73" s="507" t="s">
        <v>493</v>
      </c>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542">
        <f>SUM(BS61:BS72)</f>
        <v>523954302.28973895</v>
      </c>
      <c r="BT73" s="542"/>
      <c r="BU73" s="542"/>
      <c r="BV73" s="542"/>
      <c r="BW73" s="542"/>
      <c r="BX73" s="542">
        <f t="shared" ref="BX73:CY73" si="35">SUM(BX61:BX72)</f>
        <v>69671814.965441152</v>
      </c>
      <c r="BY73" s="542">
        <f t="shared" si="35"/>
        <v>88163449.153404951</v>
      </c>
      <c r="BZ73" s="542">
        <f t="shared" si="35"/>
        <v>82328771.033029795</v>
      </c>
      <c r="CA73" s="542">
        <f t="shared" si="35"/>
        <v>87504975.72576873</v>
      </c>
      <c r="CB73" s="542">
        <f t="shared" si="35"/>
        <v>90167364.673160806</v>
      </c>
      <c r="CC73" s="542">
        <f t="shared" si="35"/>
        <v>94069016.567541793</v>
      </c>
      <c r="CD73" s="542">
        <f t="shared" si="35"/>
        <v>97987868.020493358</v>
      </c>
      <c r="CE73" s="542">
        <f t="shared" si="35"/>
        <v>102208457.20397124</v>
      </c>
      <c r="CF73" s="542">
        <f t="shared" si="35"/>
        <v>108880091.94817612</v>
      </c>
      <c r="CG73" s="542">
        <f t="shared" si="35"/>
        <v>820861809.29098785</v>
      </c>
      <c r="CH73" s="542">
        <f t="shared" si="35"/>
        <v>20968405.575321641</v>
      </c>
      <c r="CI73" s="542">
        <f t="shared" si="35"/>
        <v>25612237.488409441</v>
      </c>
      <c r="CJ73" s="542">
        <f t="shared" si="35"/>
        <v>28355131.257146616</v>
      </c>
      <c r="CK73" s="542">
        <f t="shared" si="35"/>
        <v>31212090.820071571</v>
      </c>
      <c r="CL73" s="542">
        <f t="shared" si="35"/>
        <v>33536966.309379775</v>
      </c>
      <c r="CM73" s="542">
        <f t="shared" si="35"/>
        <v>36666461.082969524</v>
      </c>
      <c r="CN73" s="542">
        <f t="shared" si="35"/>
        <v>37830339.078008078</v>
      </c>
      <c r="CO73" s="542">
        <f t="shared" si="35"/>
        <v>39570607.871733889</v>
      </c>
      <c r="CP73" s="542">
        <f t="shared" si="35"/>
        <v>43275267.518208385</v>
      </c>
      <c r="CQ73" s="542">
        <f t="shared" si="35"/>
        <v>297027507.00124896</v>
      </c>
      <c r="CR73" s="542"/>
      <c r="CS73" s="542">
        <f t="shared" si="35"/>
        <v>5245800</v>
      </c>
      <c r="CT73" s="542"/>
      <c r="CU73" s="542"/>
      <c r="CV73" s="542"/>
      <c r="CW73" s="542"/>
      <c r="CX73" s="542"/>
      <c r="CY73" s="542">
        <f t="shared" si="35"/>
        <v>291979707.00124896</v>
      </c>
      <c r="CZ73" s="255"/>
    </row>
  </sheetData>
  <sortState ref="B17:CY29">
    <sortCondition descending="1" ref="CQ17:CQ29"/>
    <sortCondition ref="E17:E29"/>
    <sortCondition descending="1" ref="N17:N29"/>
  </sortState>
  <mergeCells count="32">
    <mergeCell ref="AU2:BE2"/>
    <mergeCell ref="O1:AE1"/>
    <mergeCell ref="AF1:BE1"/>
    <mergeCell ref="BF1:CZ1"/>
    <mergeCell ref="B2:B3"/>
    <mergeCell ref="D2:G2"/>
    <mergeCell ref="J2:L2"/>
    <mergeCell ref="N2:N3"/>
    <mergeCell ref="O2:O3"/>
    <mergeCell ref="P2:P3"/>
    <mergeCell ref="Q2:AE2"/>
    <mergeCell ref="N59:N60"/>
    <mergeCell ref="CG2:CG3"/>
    <mergeCell ref="CQ2:CQ3"/>
    <mergeCell ref="CR2:CZ2"/>
    <mergeCell ref="J3:L3"/>
    <mergeCell ref="BF2:BF3"/>
    <mergeCell ref="BG2:BG3"/>
    <mergeCell ref="BH2:BH3"/>
    <mergeCell ref="BI2:BI3"/>
    <mergeCell ref="BS2:BS3"/>
    <mergeCell ref="BT2:BW2"/>
    <mergeCell ref="AF2:AF3"/>
    <mergeCell ref="AG2:AG3"/>
    <mergeCell ref="AH2:AH3"/>
    <mergeCell ref="AI2:AI3"/>
    <mergeCell ref="AJ2:AT2"/>
    <mergeCell ref="BS59:BS60"/>
    <mergeCell ref="BT59:BW59"/>
    <mergeCell ref="CG59:CG60"/>
    <mergeCell ref="CQ59:CQ60"/>
    <mergeCell ref="CR59:CZ59"/>
  </mergeCells>
  <conditionalFormatting sqref="G9 G39 G41 G44:G47 G22:G23 G34:G37">
    <cfRule type="containsText" dxfId="636" priority="315" operator="containsText" text="x">
      <formula>NOT(ISERROR(SEARCH("x",G9)))</formula>
    </cfRule>
  </conditionalFormatting>
  <conditionalFormatting sqref="G49">
    <cfRule type="containsText" dxfId="635" priority="314" operator="containsText" text="x">
      <formula>NOT(ISERROR(SEARCH("x",G49)))</formula>
    </cfRule>
  </conditionalFormatting>
  <conditionalFormatting sqref="G53">
    <cfRule type="containsText" dxfId="634" priority="313" operator="containsText" text="x">
      <formula>NOT(ISERROR(SEARCH("x",G53)))</formula>
    </cfRule>
  </conditionalFormatting>
  <conditionalFormatting sqref="G54:G55">
    <cfRule type="containsText" dxfId="633" priority="312" operator="containsText" text="x">
      <formula>NOT(ISERROR(SEARCH("x",G54)))</formula>
    </cfRule>
  </conditionalFormatting>
  <conditionalFormatting sqref="G60">
    <cfRule type="containsText" dxfId="632" priority="311" operator="containsText" text="x">
      <formula>NOT(ISERROR(SEARCH("x",G60)))</formula>
    </cfRule>
  </conditionalFormatting>
  <conditionalFormatting sqref="G50">
    <cfRule type="containsText" dxfId="631" priority="310" operator="containsText" text="x">
      <formula>NOT(ISERROR(SEARCH("x",G50)))</formula>
    </cfRule>
  </conditionalFormatting>
  <conditionalFormatting sqref="G33">
    <cfRule type="containsText" dxfId="630" priority="309" operator="containsText" text="x">
      <formula>NOT(ISERROR(SEARCH("x",G33)))</formula>
    </cfRule>
  </conditionalFormatting>
  <conditionalFormatting sqref="G25">
    <cfRule type="containsText" dxfId="629" priority="308" operator="containsText" text="x">
      <formula>NOT(ISERROR(SEARCH("x",G25)))</formula>
    </cfRule>
  </conditionalFormatting>
  <conditionalFormatting sqref="G21">
    <cfRule type="containsText" dxfId="628" priority="307" operator="containsText" text="x">
      <formula>NOT(ISERROR(SEARCH("x",G21)))</formula>
    </cfRule>
  </conditionalFormatting>
  <conditionalFormatting sqref="G29">
    <cfRule type="containsText" dxfId="627" priority="306" operator="containsText" text="x">
      <formula>NOT(ISERROR(SEARCH("x",G29)))</formula>
    </cfRule>
  </conditionalFormatting>
  <conditionalFormatting sqref="G19">
    <cfRule type="containsText" dxfId="626" priority="305" operator="containsText" text="x">
      <formula>NOT(ISERROR(SEARCH("x",G19)))</formula>
    </cfRule>
  </conditionalFormatting>
  <conditionalFormatting sqref="G15">
    <cfRule type="containsText" dxfId="625" priority="304" operator="containsText" text="x">
      <formula>NOT(ISERROR(SEARCH("x",G15)))</formula>
    </cfRule>
  </conditionalFormatting>
  <conditionalFormatting sqref="G52">
    <cfRule type="containsText" dxfId="624" priority="303" operator="containsText" text="x">
      <formula>NOT(ISERROR(SEARCH("x",G52)))</formula>
    </cfRule>
  </conditionalFormatting>
  <conditionalFormatting sqref="G40">
    <cfRule type="containsText" dxfId="623" priority="301" operator="containsText" text="x">
      <formula>NOT(ISERROR(SEARCH("x",G40)))</formula>
    </cfRule>
  </conditionalFormatting>
  <conditionalFormatting sqref="G16">
    <cfRule type="containsText" dxfId="622" priority="297" operator="containsText" text="x">
      <formula>NOT(ISERROR(SEARCH("x",G16)))</formula>
    </cfRule>
  </conditionalFormatting>
  <conditionalFormatting sqref="G4:G5">
    <cfRule type="containsText" dxfId="621" priority="300" operator="containsText" text="x">
      <formula>NOT(ISERROR(SEARCH("x",G4)))</formula>
    </cfRule>
  </conditionalFormatting>
  <conditionalFormatting sqref="G28">
    <cfRule type="containsText" dxfId="620" priority="299" operator="containsText" text="x">
      <formula>NOT(ISERROR(SEARCH("x",G28)))</formula>
    </cfRule>
  </conditionalFormatting>
  <conditionalFormatting sqref="G26:G27">
    <cfRule type="containsText" dxfId="619" priority="298" operator="containsText" text="x">
      <formula>NOT(ISERROR(SEARCH("x",G26)))</formula>
    </cfRule>
  </conditionalFormatting>
  <conditionalFormatting sqref="G30">
    <cfRule type="containsText" dxfId="618" priority="296" operator="containsText" text="x">
      <formula>NOT(ISERROR(SEARCH("x",G30)))</formula>
    </cfRule>
  </conditionalFormatting>
  <conditionalFormatting sqref="G38">
    <cfRule type="containsText" dxfId="617" priority="295" operator="containsText" text="x">
      <formula>NOT(ISERROR(SEARCH("x",G38)))</formula>
    </cfRule>
  </conditionalFormatting>
  <conditionalFormatting sqref="G42">
    <cfRule type="containsText" dxfId="616" priority="294" operator="containsText" text="x">
      <formula>NOT(ISERROR(SEARCH("x",G42)))</formula>
    </cfRule>
  </conditionalFormatting>
  <conditionalFormatting sqref="G57">
    <cfRule type="containsText" dxfId="615" priority="293" operator="containsText" text="x">
      <formula>NOT(ISERROR(SEARCH("x",G57)))</formula>
    </cfRule>
  </conditionalFormatting>
  <conditionalFormatting sqref="G6">
    <cfRule type="containsText" dxfId="614" priority="292" operator="containsText" text="x">
      <formula>NOT(ISERROR(SEARCH("x",G6)))</formula>
    </cfRule>
  </conditionalFormatting>
  <conditionalFormatting sqref="G24">
    <cfRule type="containsText" dxfId="613" priority="291" operator="containsText" text="x">
      <formula>NOT(ISERROR(SEARCH("x",G24)))</formula>
    </cfRule>
  </conditionalFormatting>
  <conditionalFormatting sqref="G31">
    <cfRule type="containsText" dxfId="612" priority="290" operator="containsText" text="x">
      <formula>NOT(ISERROR(SEARCH("x",G31)))</formula>
    </cfRule>
  </conditionalFormatting>
  <conditionalFormatting sqref="G32">
    <cfRule type="containsText" dxfId="611" priority="289" operator="containsText" text="x">
      <formula>NOT(ISERROR(SEARCH("x",G32)))</formula>
    </cfRule>
  </conditionalFormatting>
  <conditionalFormatting sqref="BG29">
    <cfRule type="containsText" dxfId="610" priority="283" operator="containsText" text="L3 - Subprograms (in planning)">
      <formula>NOT(ISERROR(SEARCH("L3 - Subprograms (in planning)",BG29)))</formula>
    </cfRule>
    <cfRule type="containsText" dxfId="609" priority="284" operator="containsText" text="L3 - Subprograms (w/plans)">
      <formula>NOT(ISERROR(SEARCH("L3 - Subprograms (w/plans)",BG29)))</formula>
    </cfRule>
    <cfRule type="containsText" dxfId="608" priority="285" operator="containsText" text="L2 - Policies and Strategies REDD+ and Land-use">
      <formula>NOT(ISERROR(SEARCH("L2 - Policies and Strategies REDD+ and Land-use",BG29)))</formula>
    </cfRule>
    <cfRule type="containsText" dxfId="607" priority="286" operator="containsText" text="TBD/??">
      <formula>NOT(ISERROR(SEARCH("TBD/??",BG29)))</formula>
    </cfRule>
    <cfRule type="containsText" dxfId="606" priority="287" operator="containsText" text="L1 - REDD+ Program Admin and Mgt">
      <formula>NOT(ISERROR(SEARCH("L1 - REDD+ Program Admin and Mgt",BG29)))</formula>
    </cfRule>
  </conditionalFormatting>
  <conditionalFormatting sqref="Q29:AE29">
    <cfRule type="containsText" dxfId="605" priority="282" operator="containsText" text="x">
      <formula>NOT(ISERROR(SEARCH("x",Q29)))</formula>
    </cfRule>
  </conditionalFormatting>
  <conditionalFormatting sqref="BG35">
    <cfRule type="containsText" dxfId="604" priority="277" operator="containsText" text="L3 - Subprograms (in planning)">
      <formula>NOT(ISERROR(SEARCH("L3 - Subprograms (in planning)",BG35)))</formula>
    </cfRule>
    <cfRule type="containsText" dxfId="603" priority="278" operator="containsText" text="L3 - Subprograms (w/plans)">
      <formula>NOT(ISERROR(SEARCH("L3 - Subprograms (w/plans)",BG35)))</formula>
    </cfRule>
    <cfRule type="containsText" dxfId="602" priority="279" operator="containsText" text="L2 - Policies and Strategies REDD+ and Land-use">
      <formula>NOT(ISERROR(SEARCH("L2 - Policies and Strategies REDD+ and Land-use",BG35)))</formula>
    </cfRule>
    <cfRule type="containsText" dxfId="601" priority="280" operator="containsText" text="TBD/??">
      <formula>NOT(ISERROR(SEARCH("TBD/??",BG35)))</formula>
    </cfRule>
    <cfRule type="containsText" dxfId="600" priority="281" operator="containsText" text="L1 - REDD+ Program Admin and Mgt">
      <formula>NOT(ISERROR(SEARCH("L1 - REDD+ Program Admin and Mgt",BG35)))</formula>
    </cfRule>
  </conditionalFormatting>
  <conditionalFormatting sqref="Q35:AE35">
    <cfRule type="containsText" dxfId="599" priority="276" operator="containsText" text="x">
      <formula>NOT(ISERROR(SEARCH("x",Q35)))</formula>
    </cfRule>
  </conditionalFormatting>
  <conditionalFormatting sqref="BG23">
    <cfRule type="containsText" dxfId="598" priority="261" operator="containsText" text="L3 - Subprograms (in planning)">
      <formula>NOT(ISERROR(SEARCH("L3 - Subprograms (in planning)",BG23)))</formula>
    </cfRule>
    <cfRule type="containsText" dxfId="597" priority="262" operator="containsText" text="L3 - Subprograms (w/plans)">
      <formula>NOT(ISERROR(SEARCH("L3 - Subprograms (w/plans)",BG23)))</formula>
    </cfRule>
    <cfRule type="containsText" dxfId="596" priority="263" operator="containsText" text="L2 - Policies and Strategies REDD+ and Land-use">
      <formula>NOT(ISERROR(SEARCH("L2 - Policies and Strategies REDD+ and Land-use",BG23)))</formula>
    </cfRule>
    <cfRule type="containsText" dxfId="595" priority="264" operator="containsText" text="TBD/??">
      <formula>NOT(ISERROR(SEARCH("TBD/??",BG23)))</formula>
    </cfRule>
    <cfRule type="containsText" dxfId="594" priority="265" operator="containsText" text="L1 - REDD+ Program Admin and Mgt">
      <formula>NOT(ISERROR(SEARCH("L1 - REDD+ Program Admin and Mgt",BG23)))</formula>
    </cfRule>
  </conditionalFormatting>
  <conditionalFormatting sqref="Q46:AE46">
    <cfRule type="containsText" dxfId="593" priority="275" operator="containsText" text="x">
      <formula>NOT(ISERROR(SEARCH("x",Q46)))</formula>
    </cfRule>
  </conditionalFormatting>
  <conditionalFormatting sqref="BG50">
    <cfRule type="containsText" dxfId="592" priority="270" operator="containsText" text="L3 - Subprograms (in planning)">
      <formula>NOT(ISERROR(SEARCH("L3 - Subprograms (in planning)",BG50)))</formula>
    </cfRule>
    <cfRule type="containsText" dxfId="591" priority="271" operator="containsText" text="L3 - Subprograms (w/plans)">
      <formula>NOT(ISERROR(SEARCH("L3 - Subprograms (w/plans)",BG50)))</formula>
    </cfRule>
    <cfRule type="containsText" dxfId="590" priority="272" operator="containsText" text="L2 - Policies and Strategies REDD+ and Land-use">
      <formula>NOT(ISERROR(SEARCH("L2 - Policies and Strategies REDD+ and Land-use",BG50)))</formula>
    </cfRule>
    <cfRule type="containsText" dxfId="589" priority="273" operator="containsText" text="TBD/??">
      <formula>NOT(ISERROR(SEARCH("TBD/??",BG50)))</formula>
    </cfRule>
    <cfRule type="containsText" dxfId="588" priority="274" operator="containsText" text="L1 - REDD+ Program Admin and Mgt">
      <formula>NOT(ISERROR(SEARCH("L1 - REDD+ Program Admin and Mgt",BG50)))</formula>
    </cfRule>
  </conditionalFormatting>
  <conditionalFormatting sqref="Q50:AE50">
    <cfRule type="containsText" dxfId="587" priority="269" operator="containsText" text="x">
      <formula>NOT(ISERROR(SEARCH("x",Q50)))</formula>
    </cfRule>
  </conditionalFormatting>
  <conditionalFormatting sqref="Q36:AE37">
    <cfRule type="containsText" dxfId="586" priority="268" operator="containsText" text="x">
      <formula>NOT(ISERROR(SEARCH("x",Q36)))</formula>
    </cfRule>
  </conditionalFormatting>
  <conditionalFormatting sqref="BG18">
    <cfRule type="containsText" dxfId="585" priority="201" operator="containsText" text="L3 - Subprograms (in planning)">
      <formula>NOT(ISERROR(SEARCH("L3 - Subprograms (in planning)",BG18)))</formula>
    </cfRule>
    <cfRule type="containsText" dxfId="584" priority="202" operator="containsText" text="L3 - Subprograms (w/plans)">
      <formula>NOT(ISERROR(SEARCH("L3 - Subprograms (w/plans)",BG18)))</formula>
    </cfRule>
    <cfRule type="containsText" dxfId="583" priority="203" operator="containsText" text="L2 - Policies and Strategies REDD+ and Land-use">
      <formula>NOT(ISERROR(SEARCH("L2 - Policies and Strategies REDD+ and Land-use",BG18)))</formula>
    </cfRule>
    <cfRule type="containsText" dxfId="582" priority="204" operator="containsText" text="TBD/??">
      <formula>NOT(ISERROR(SEARCH("TBD/??",BG18)))</formula>
    </cfRule>
    <cfRule type="containsText" dxfId="581" priority="205" operator="containsText" text="L1 - REDD+ Program Admin and Mgt">
      <formula>NOT(ISERROR(SEARCH("L1 - REDD+ Program Admin and Mgt",BG18)))</formula>
    </cfRule>
  </conditionalFormatting>
  <conditionalFormatting sqref="Q39:AE39">
    <cfRule type="containsText" dxfId="580" priority="267" operator="containsText" text="x">
      <formula>NOT(ISERROR(SEARCH("x",Q39)))</formula>
    </cfRule>
  </conditionalFormatting>
  <conditionalFormatting sqref="Q41:AE41">
    <cfRule type="containsText" dxfId="579" priority="266" operator="containsText" text="x">
      <formula>NOT(ISERROR(SEARCH("x",Q41)))</formula>
    </cfRule>
  </conditionalFormatting>
  <conditionalFormatting sqref="Q23:AE23">
    <cfRule type="containsText" dxfId="578" priority="260" operator="containsText" text="x">
      <formula>NOT(ISERROR(SEARCH("x",Q23)))</formula>
    </cfRule>
  </conditionalFormatting>
  <conditionalFormatting sqref="Q24:AE24">
    <cfRule type="containsText" dxfId="577" priority="254" operator="containsText" text="x">
      <formula>NOT(ISERROR(SEARCH("x",Q24)))</formula>
    </cfRule>
  </conditionalFormatting>
  <conditionalFormatting sqref="BG24">
    <cfRule type="containsText" dxfId="576" priority="255" operator="containsText" text="L3 - Subprograms (in planning)">
      <formula>NOT(ISERROR(SEARCH("L3 - Subprograms (in planning)",BG24)))</formula>
    </cfRule>
    <cfRule type="containsText" dxfId="575" priority="256" operator="containsText" text="L3 - Subprograms (w/plans)">
      <formula>NOT(ISERROR(SEARCH("L3 - Subprograms (w/plans)",BG24)))</formula>
    </cfRule>
    <cfRule type="containsText" dxfId="574" priority="257" operator="containsText" text="L2 - Policies and Strategies REDD+ and Land-use">
      <formula>NOT(ISERROR(SEARCH("L2 - Policies and Strategies REDD+ and Land-use",BG24)))</formula>
    </cfRule>
    <cfRule type="containsText" dxfId="573" priority="258" operator="containsText" text="TBD/??">
      <formula>NOT(ISERROR(SEARCH("TBD/??",BG24)))</formula>
    </cfRule>
    <cfRule type="containsText" dxfId="572" priority="259" operator="containsText" text="L1 - REDD+ Program Admin and Mgt">
      <formula>NOT(ISERROR(SEARCH("L1 - REDD+ Program Admin and Mgt",BG24)))</formula>
    </cfRule>
  </conditionalFormatting>
  <conditionalFormatting sqref="Q15:AE15">
    <cfRule type="containsText" dxfId="571" priority="253" operator="containsText" text="x">
      <formula>NOT(ISERROR(SEARCH("x",Q15)))</formula>
    </cfRule>
  </conditionalFormatting>
  <conditionalFormatting sqref="Q30:AE30">
    <cfRule type="containsText" dxfId="570" priority="252" operator="containsText" text="x">
      <formula>NOT(ISERROR(SEARCH("x",Q30)))</formula>
    </cfRule>
  </conditionalFormatting>
  <conditionalFormatting sqref="Q34:AE34">
    <cfRule type="containsText" dxfId="569" priority="251" operator="containsText" text="x">
      <formula>NOT(ISERROR(SEARCH("x",Q34)))</formula>
    </cfRule>
  </conditionalFormatting>
  <conditionalFormatting sqref="BG19">
    <cfRule type="containsText" dxfId="568" priority="221" operator="containsText" text="L3 - Subprograms (in planning)">
      <formula>NOT(ISERROR(SEARCH("L3 - Subprograms (in planning)",BG19)))</formula>
    </cfRule>
    <cfRule type="containsText" dxfId="567" priority="222" operator="containsText" text="L3 - Subprograms (w/plans)">
      <formula>NOT(ISERROR(SEARCH("L3 - Subprograms (w/plans)",BG19)))</formula>
    </cfRule>
    <cfRule type="containsText" dxfId="566" priority="223" operator="containsText" text="L2 - Policies and Strategies REDD+ and Land-use">
      <formula>NOT(ISERROR(SEARCH("L2 - Policies and Strategies REDD+ and Land-use",BG19)))</formula>
    </cfRule>
    <cfRule type="containsText" dxfId="565" priority="224" operator="containsText" text="TBD/??">
      <formula>NOT(ISERROR(SEARCH("TBD/??",BG19)))</formula>
    </cfRule>
    <cfRule type="containsText" dxfId="564" priority="225" operator="containsText" text="L1 - REDD+ Program Admin and Mgt">
      <formula>NOT(ISERROR(SEARCH("L1 - REDD+ Program Admin and Mgt",BG19)))</formula>
    </cfRule>
  </conditionalFormatting>
  <conditionalFormatting sqref="Q38:AE38">
    <cfRule type="containsText" dxfId="563" priority="250" operator="containsText" text="x">
      <formula>NOT(ISERROR(SEARCH("x",Q38)))</formula>
    </cfRule>
  </conditionalFormatting>
  <conditionalFormatting sqref="BG47">
    <cfRule type="containsText" dxfId="562" priority="244" operator="containsText" text="L3 - Subprograms (in planning)">
      <formula>NOT(ISERROR(SEARCH("L3 - Subprograms (in planning)",BG47)))</formula>
    </cfRule>
    <cfRule type="containsText" dxfId="561" priority="245" operator="containsText" text="L3 - Subprograms (w/plans)">
      <formula>NOT(ISERROR(SEARCH("L3 - Subprograms (w/plans)",BG47)))</formula>
    </cfRule>
    <cfRule type="containsText" dxfId="560" priority="246" operator="containsText" text="L2 - Policies and Strategies REDD+ and Land-use">
      <formula>NOT(ISERROR(SEARCH("L2 - Policies and Strategies REDD+ and Land-use",BG47)))</formula>
    </cfRule>
    <cfRule type="containsText" dxfId="559" priority="247" operator="containsText" text="TBD/??">
      <formula>NOT(ISERROR(SEARCH("TBD/??",BG47)))</formula>
    </cfRule>
    <cfRule type="containsText" dxfId="558" priority="248" operator="containsText" text="L1 - REDD+ Program Admin and Mgt">
      <formula>NOT(ISERROR(SEARCH("L1 - REDD+ Program Admin and Mgt",BG47)))</formula>
    </cfRule>
  </conditionalFormatting>
  <conditionalFormatting sqref="Q47:AE47">
    <cfRule type="containsText" dxfId="557" priority="243" operator="containsText" text="x">
      <formula>NOT(ISERROR(SEARCH("x",Q47)))</formula>
    </cfRule>
  </conditionalFormatting>
  <conditionalFormatting sqref="Q49:AE49">
    <cfRule type="containsText" dxfId="556" priority="241" operator="containsText" text="x">
      <formula>NOT(ISERROR(SEARCH("x",Q49)))</formula>
    </cfRule>
  </conditionalFormatting>
  <conditionalFormatting sqref="Q52:AE52">
    <cfRule type="containsText" dxfId="555" priority="240" operator="containsText" text="x">
      <formula>NOT(ISERROR(SEARCH("x",Q52)))</formula>
    </cfRule>
  </conditionalFormatting>
  <conditionalFormatting sqref="BG53">
    <cfRule type="containsText" dxfId="554" priority="235" operator="containsText" text="L3 - Subprograms (in planning)">
      <formula>NOT(ISERROR(SEARCH("L3 - Subprograms (in planning)",BG53)))</formula>
    </cfRule>
    <cfRule type="containsText" dxfId="553" priority="236" operator="containsText" text="L3 - Subprograms (w/plans)">
      <formula>NOT(ISERROR(SEARCH("L3 - Subprograms (w/plans)",BG53)))</formula>
    </cfRule>
    <cfRule type="containsText" dxfId="552" priority="237" operator="containsText" text="L2 - Policies and Strategies REDD+ and Land-use">
      <formula>NOT(ISERROR(SEARCH("L2 - Policies and Strategies REDD+ and Land-use",BG53)))</formula>
    </cfRule>
    <cfRule type="containsText" dxfId="551" priority="238" operator="containsText" text="TBD/??">
      <formula>NOT(ISERROR(SEARCH("TBD/??",BG53)))</formula>
    </cfRule>
    <cfRule type="containsText" dxfId="550" priority="239" operator="containsText" text="L1 - REDD+ Program Admin and Mgt">
      <formula>NOT(ISERROR(SEARCH("L1 - REDD+ Program Admin and Mgt",BG53)))</formula>
    </cfRule>
  </conditionalFormatting>
  <conditionalFormatting sqref="Q53:AE53">
    <cfRule type="containsText" dxfId="549" priority="234" operator="containsText" text="x">
      <formula>NOT(ISERROR(SEARCH("x",Q53)))</formula>
    </cfRule>
  </conditionalFormatting>
  <conditionalFormatting sqref="BG54">
    <cfRule type="containsText" dxfId="548" priority="229" operator="containsText" text="L3 - Subprograms (in planning)">
      <formula>NOT(ISERROR(SEARCH("L3 - Subprograms (in planning)",BG54)))</formula>
    </cfRule>
    <cfRule type="containsText" dxfId="547" priority="230" operator="containsText" text="L3 - Subprograms (w/plans)">
      <formula>NOT(ISERROR(SEARCH("L3 - Subprograms (w/plans)",BG54)))</formula>
    </cfRule>
    <cfRule type="containsText" dxfId="546" priority="231" operator="containsText" text="L2 - Policies and Strategies REDD+ and Land-use">
      <formula>NOT(ISERROR(SEARCH("L2 - Policies and Strategies REDD+ and Land-use",BG54)))</formula>
    </cfRule>
    <cfRule type="containsText" dxfId="545" priority="232" operator="containsText" text="TBD/??">
      <formula>NOT(ISERROR(SEARCH("TBD/??",BG54)))</formula>
    </cfRule>
    <cfRule type="containsText" dxfId="544" priority="233" operator="containsText" text="L1 - REDD+ Program Admin and Mgt">
      <formula>NOT(ISERROR(SEARCH("L1 - REDD+ Program Admin and Mgt",BG54)))</formula>
    </cfRule>
  </conditionalFormatting>
  <conditionalFormatting sqref="Q54:AE55">
    <cfRule type="containsText" dxfId="543" priority="228" operator="containsText" text="x">
      <formula>NOT(ISERROR(SEARCH("x",Q54)))</formula>
    </cfRule>
  </conditionalFormatting>
  <conditionalFormatting sqref="Q57:AE57">
    <cfRule type="containsText" dxfId="542" priority="226" operator="containsText" text="x">
      <formula>NOT(ISERROR(SEARCH("x",Q57)))</formula>
    </cfRule>
  </conditionalFormatting>
  <conditionalFormatting sqref="Q19:R19 T19:AE19">
    <cfRule type="containsText" dxfId="541" priority="220" operator="containsText" text="x">
      <formula>NOT(ISERROR(SEARCH("x",Q19)))</formula>
    </cfRule>
  </conditionalFormatting>
  <conditionalFormatting sqref="Q22:AE22">
    <cfRule type="containsText" dxfId="540" priority="219" operator="containsText" text="x">
      <formula>NOT(ISERROR(SEARCH("x",Q22)))</formula>
    </cfRule>
  </conditionalFormatting>
  <conditionalFormatting sqref="BG21">
    <cfRule type="containsText" dxfId="539" priority="214" operator="containsText" text="L3 - Subprograms (in planning)">
      <formula>NOT(ISERROR(SEARCH("L3 - Subprograms (in planning)",BG21)))</formula>
    </cfRule>
    <cfRule type="containsText" dxfId="538" priority="215" operator="containsText" text="L3 - Subprograms (w/plans)">
      <formula>NOT(ISERROR(SEARCH("L3 - Subprograms (w/plans)",BG21)))</formula>
    </cfRule>
    <cfRule type="containsText" dxfId="537" priority="216" operator="containsText" text="L2 - Policies and Strategies REDD+ and Land-use">
      <formula>NOT(ISERROR(SEARCH("L2 - Policies and Strategies REDD+ and Land-use",BG21)))</formula>
    </cfRule>
    <cfRule type="containsText" dxfId="536" priority="217" operator="containsText" text="TBD/??">
      <formula>NOT(ISERROR(SEARCH("TBD/??",BG21)))</formula>
    </cfRule>
    <cfRule type="containsText" dxfId="535" priority="218" operator="containsText" text="L1 - REDD+ Program Admin and Mgt">
      <formula>NOT(ISERROR(SEARCH("L1 - REDD+ Program Admin and Mgt",BG21)))</formula>
    </cfRule>
  </conditionalFormatting>
  <conditionalFormatting sqref="Q21 V21:AE21">
    <cfRule type="containsText" dxfId="534" priority="213" operator="containsText" text="x">
      <formula>NOT(ISERROR(SEARCH("x",Q21)))</formula>
    </cfRule>
  </conditionalFormatting>
  <conditionalFormatting sqref="Q4:AE5">
    <cfRule type="containsText" dxfId="533" priority="212" operator="containsText" text="x">
      <formula>NOT(ISERROR(SEARCH("x",Q4)))</formula>
    </cfRule>
  </conditionalFormatting>
  <conditionalFormatting sqref="Q16:AE16">
    <cfRule type="containsText" dxfId="532" priority="211" operator="containsText" text="x">
      <formula>NOT(ISERROR(SEARCH("x",Q16)))</formula>
    </cfRule>
  </conditionalFormatting>
  <conditionalFormatting sqref="BG42">
    <cfRule type="containsText" dxfId="531" priority="81" operator="containsText" text="L3 - Subprograms (in planning)">
      <formula>NOT(ISERROR(SEARCH("L3 - Subprograms (in planning)",BG42)))</formula>
    </cfRule>
    <cfRule type="containsText" dxfId="530" priority="82" operator="containsText" text="L3 - Subprograms (w/plans)">
      <formula>NOT(ISERROR(SEARCH("L3 - Subprograms (w/plans)",BG42)))</formula>
    </cfRule>
    <cfRule type="containsText" dxfId="529" priority="83" operator="containsText" text="L2 - Policies and Strategies REDD+ and Land-use">
      <formula>NOT(ISERROR(SEARCH("L2 - Policies and Strategies REDD+ and Land-use",BG42)))</formula>
    </cfRule>
    <cfRule type="containsText" dxfId="528" priority="84" operator="containsText" text="TBD/??">
      <formula>NOT(ISERROR(SEARCH("TBD/??",BG42)))</formula>
    </cfRule>
    <cfRule type="containsText" dxfId="527" priority="85" operator="containsText" text="L1 - REDD+ Program Admin and Mgt">
      <formula>NOT(ISERROR(SEARCH("L1 - REDD+ Program Admin and Mgt",BG42)))</formula>
    </cfRule>
  </conditionalFormatting>
  <conditionalFormatting sqref="BG4:BG5">
    <cfRule type="containsText" dxfId="526" priority="206" operator="containsText" text="L3 - Subprograms (in planning)">
      <formula>NOT(ISERROR(SEARCH("L3 - Subprograms (in planning)",BG4)))</formula>
    </cfRule>
    <cfRule type="containsText" dxfId="525" priority="207" operator="containsText" text="L3 - Subprograms (w/plans)">
      <formula>NOT(ISERROR(SEARCH("L3 - Subprograms (w/plans)",BG4)))</formula>
    </cfRule>
    <cfRule type="containsText" dxfId="524" priority="208" operator="containsText" text="L2 - Policies and Strategies REDD+ and Land-use">
      <formula>NOT(ISERROR(SEARCH("L2 - Policies and Strategies REDD+ and Land-use",BG4)))</formula>
    </cfRule>
    <cfRule type="containsText" dxfId="523" priority="209" operator="containsText" text="TBD/??">
      <formula>NOT(ISERROR(SEARCH("TBD/??",BG4)))</formula>
    </cfRule>
    <cfRule type="containsText" dxfId="522" priority="210" operator="containsText" text="L1 - REDD+ Program Admin and Mgt">
      <formula>NOT(ISERROR(SEARCH("L1 - REDD+ Program Admin and Mgt",BG4)))</formula>
    </cfRule>
  </conditionalFormatting>
  <conditionalFormatting sqref="BG30">
    <cfRule type="containsText" dxfId="521" priority="196" operator="containsText" text="L3 - Subprograms (in planning)">
      <formula>NOT(ISERROR(SEARCH("L3 - Subprograms (in planning)",BG30)))</formula>
    </cfRule>
    <cfRule type="containsText" dxfId="520" priority="197" operator="containsText" text="L3 - Subprograms (w/plans)">
      <formula>NOT(ISERROR(SEARCH("L3 - Subprograms (w/plans)",BG30)))</formula>
    </cfRule>
    <cfRule type="containsText" dxfId="519" priority="198" operator="containsText" text="L2 - Policies and Strategies REDD+ and Land-use">
      <formula>NOT(ISERROR(SEARCH("L2 - Policies and Strategies REDD+ and Land-use",BG30)))</formula>
    </cfRule>
    <cfRule type="containsText" dxfId="518" priority="199" operator="containsText" text="TBD/??">
      <formula>NOT(ISERROR(SEARCH("TBD/??",BG30)))</formula>
    </cfRule>
    <cfRule type="containsText" dxfId="517" priority="200" operator="containsText" text="L1 - REDD+ Program Admin and Mgt">
      <formula>NOT(ISERROR(SEARCH("L1 - REDD+ Program Admin and Mgt",BG30)))</formula>
    </cfRule>
  </conditionalFormatting>
  <conditionalFormatting sqref="BG57">
    <cfRule type="containsText" dxfId="516" priority="191" operator="containsText" text="L3 - Subprograms (in planning)">
      <formula>NOT(ISERROR(SEARCH("L3 - Subprograms (in planning)",BG57)))</formula>
    </cfRule>
    <cfRule type="containsText" dxfId="515" priority="192" operator="containsText" text="L3 - Subprograms (w/plans)">
      <formula>NOT(ISERROR(SEARCH("L3 - Subprograms (w/plans)",BG57)))</formula>
    </cfRule>
    <cfRule type="containsText" dxfId="514" priority="193" operator="containsText" text="L2 - Policies and Strategies REDD+ and Land-use">
      <formula>NOT(ISERROR(SEARCH("L2 - Policies and Strategies REDD+ and Land-use",BG57)))</formula>
    </cfRule>
    <cfRule type="containsText" dxfId="513" priority="194" operator="containsText" text="TBD/??">
      <formula>NOT(ISERROR(SEARCH("TBD/??",BG57)))</formula>
    </cfRule>
    <cfRule type="containsText" dxfId="512" priority="195" operator="containsText" text="L1 - REDD+ Program Admin and Mgt">
      <formula>NOT(ISERROR(SEARCH("L1 - REDD+ Program Admin and Mgt",BG57)))</formula>
    </cfRule>
  </conditionalFormatting>
  <conditionalFormatting sqref="BG52">
    <cfRule type="containsText" dxfId="511" priority="161" operator="containsText" text="L3 - Subprograms (in planning)">
      <formula>NOT(ISERROR(SEARCH("L3 - Subprograms (in planning)",BG52)))</formula>
    </cfRule>
    <cfRule type="containsText" dxfId="510" priority="162" operator="containsText" text="L3 - Subprograms (w/plans)">
      <formula>NOT(ISERROR(SEARCH("L3 - Subprograms (w/plans)",BG52)))</formula>
    </cfRule>
    <cfRule type="containsText" dxfId="509" priority="163" operator="containsText" text="L2 - Policies and Strategies REDD+ and Land-use">
      <formula>NOT(ISERROR(SEARCH("L2 - Policies and Strategies REDD+ and Land-use",BG52)))</formula>
    </cfRule>
    <cfRule type="containsText" dxfId="508" priority="164" operator="containsText" text="TBD/??">
      <formula>NOT(ISERROR(SEARCH("TBD/??",BG52)))</formula>
    </cfRule>
    <cfRule type="containsText" dxfId="507" priority="165" operator="containsText" text="L1 - REDD+ Program Admin and Mgt">
      <formula>NOT(ISERROR(SEARCH("L1 - REDD+ Program Admin and Mgt",BG52)))</formula>
    </cfRule>
  </conditionalFormatting>
  <conditionalFormatting sqref="BG39">
    <cfRule type="containsText" dxfId="506" priority="181" operator="containsText" text="L3 - Subprograms (in planning)">
      <formula>NOT(ISERROR(SEARCH("L3 - Subprograms (in planning)",BG39)))</formula>
    </cfRule>
    <cfRule type="containsText" dxfId="505" priority="182" operator="containsText" text="L3 - Subprograms (w/plans)">
      <formula>NOT(ISERROR(SEARCH("L3 - Subprograms (w/plans)",BG39)))</formula>
    </cfRule>
    <cfRule type="containsText" dxfId="504" priority="183" operator="containsText" text="L2 - Policies and Strategies REDD+ and Land-use">
      <formula>NOT(ISERROR(SEARCH("L2 - Policies and Strategies REDD+ and Land-use",BG39)))</formula>
    </cfRule>
    <cfRule type="containsText" dxfId="503" priority="184" operator="containsText" text="TBD/??">
      <formula>NOT(ISERROR(SEARCH("TBD/??",BG39)))</formula>
    </cfRule>
    <cfRule type="containsText" dxfId="502" priority="185" operator="containsText" text="L1 - REDD+ Program Admin and Mgt">
      <formula>NOT(ISERROR(SEARCH("L1 - REDD+ Program Admin and Mgt",BG39)))</formula>
    </cfRule>
  </conditionalFormatting>
  <conditionalFormatting sqref="BG36">
    <cfRule type="containsText" dxfId="501" priority="186" operator="containsText" text="L3 - Subprograms (in planning)">
      <formula>NOT(ISERROR(SEARCH("L3 - Subprograms (in planning)",BG36)))</formula>
    </cfRule>
    <cfRule type="containsText" dxfId="500" priority="187" operator="containsText" text="L3 - Subprograms (w/plans)">
      <formula>NOT(ISERROR(SEARCH("L3 - Subprograms (w/plans)",BG36)))</formula>
    </cfRule>
    <cfRule type="containsText" dxfId="499" priority="188" operator="containsText" text="L2 - Policies and Strategies REDD+ and Land-use">
      <formula>NOT(ISERROR(SEARCH("L2 - Policies and Strategies REDD+ and Land-use",BG36)))</formula>
    </cfRule>
    <cfRule type="containsText" dxfId="498" priority="189" operator="containsText" text="TBD/??">
      <formula>NOT(ISERROR(SEARCH("TBD/??",BG36)))</formula>
    </cfRule>
    <cfRule type="containsText" dxfId="497" priority="190" operator="containsText" text="L1 - REDD+ Program Admin and Mgt">
      <formula>NOT(ISERROR(SEARCH("L1 - REDD+ Program Admin and Mgt",BG36)))</formula>
    </cfRule>
  </conditionalFormatting>
  <conditionalFormatting sqref="BG43">
    <cfRule type="containsText" dxfId="496" priority="176" operator="containsText" text="L3 - Subprograms (in planning)">
      <formula>NOT(ISERROR(SEARCH("L3 - Subprograms (in planning)",BG43)))</formula>
    </cfRule>
    <cfRule type="containsText" dxfId="495" priority="177" operator="containsText" text="L3 - Subprograms (w/plans)">
      <formula>NOT(ISERROR(SEARCH("L3 - Subprograms (w/plans)",BG43)))</formula>
    </cfRule>
    <cfRule type="containsText" dxfId="494" priority="178" operator="containsText" text="L2 - Policies and Strategies REDD+ and Land-use">
      <formula>NOT(ISERROR(SEARCH("L2 - Policies and Strategies REDD+ and Land-use",BG43)))</formula>
    </cfRule>
    <cfRule type="containsText" dxfId="493" priority="179" operator="containsText" text="TBD/??">
      <formula>NOT(ISERROR(SEARCH("TBD/??",BG43)))</formula>
    </cfRule>
    <cfRule type="containsText" dxfId="492" priority="180" operator="containsText" text="L1 - REDD+ Program Admin and Mgt">
      <formula>NOT(ISERROR(SEARCH("L1 - REDD+ Program Admin and Mgt",BG43)))</formula>
    </cfRule>
  </conditionalFormatting>
  <conditionalFormatting sqref="BG55">
    <cfRule type="containsText" dxfId="491" priority="171" operator="containsText" text="L3 - Subprograms (in planning)">
      <formula>NOT(ISERROR(SEARCH("L3 - Subprograms (in planning)",BG55)))</formula>
    </cfRule>
    <cfRule type="containsText" dxfId="490" priority="172" operator="containsText" text="L3 - Subprograms (w/plans)">
      <formula>NOT(ISERROR(SEARCH("L3 - Subprograms (w/plans)",BG55)))</formula>
    </cfRule>
    <cfRule type="containsText" dxfId="489" priority="173" operator="containsText" text="L2 - Policies and Strategies REDD+ and Land-use">
      <formula>NOT(ISERROR(SEARCH("L2 - Policies and Strategies REDD+ and Land-use",BG55)))</formula>
    </cfRule>
    <cfRule type="containsText" dxfId="488" priority="174" operator="containsText" text="TBD/??">
      <formula>NOT(ISERROR(SEARCH("TBD/??",BG55)))</formula>
    </cfRule>
    <cfRule type="containsText" dxfId="487" priority="175" operator="containsText" text="L1 - REDD+ Program Admin and Mgt">
      <formula>NOT(ISERROR(SEARCH("L1 - REDD+ Program Admin and Mgt",BG55)))</formula>
    </cfRule>
  </conditionalFormatting>
  <conditionalFormatting sqref="BG56">
    <cfRule type="containsText" dxfId="486" priority="166" operator="containsText" text="L3 - Subprograms (in planning)">
      <formula>NOT(ISERROR(SEARCH("L3 - Subprograms (in planning)",BG56)))</formula>
    </cfRule>
    <cfRule type="containsText" dxfId="485" priority="167" operator="containsText" text="L3 - Subprograms (w/plans)">
      <formula>NOT(ISERROR(SEARCH("L3 - Subprograms (w/plans)",BG56)))</formula>
    </cfRule>
    <cfRule type="containsText" dxfId="484" priority="168" operator="containsText" text="L2 - Policies and Strategies REDD+ and Land-use">
      <formula>NOT(ISERROR(SEARCH("L2 - Policies and Strategies REDD+ and Land-use",BG56)))</formula>
    </cfRule>
    <cfRule type="containsText" dxfId="483" priority="169" operator="containsText" text="TBD/??">
      <formula>NOT(ISERROR(SEARCH("TBD/??",BG56)))</formula>
    </cfRule>
    <cfRule type="containsText" dxfId="482" priority="170" operator="containsText" text="L1 - REDD+ Program Admin and Mgt">
      <formula>NOT(ISERROR(SEARCH("L1 - REDD+ Program Admin and Mgt",BG56)))</formula>
    </cfRule>
  </conditionalFormatting>
  <conditionalFormatting sqref="BG15">
    <cfRule type="containsText" dxfId="481" priority="156" operator="containsText" text="L3 - Subprograms (in planning)">
      <formula>NOT(ISERROR(SEARCH("L3 - Subprograms (in planning)",BG15)))</formula>
    </cfRule>
    <cfRule type="containsText" dxfId="480" priority="157" operator="containsText" text="L3 - Subprograms (w/plans)">
      <formula>NOT(ISERROR(SEARCH("L3 - Subprograms (w/plans)",BG15)))</formula>
    </cfRule>
    <cfRule type="containsText" dxfId="479" priority="158" operator="containsText" text="L2 - Policies and Strategies REDD+ and Land-use">
      <formula>NOT(ISERROR(SEARCH("L2 - Policies and Strategies REDD+ and Land-use",BG15)))</formula>
    </cfRule>
    <cfRule type="containsText" dxfId="478" priority="159" operator="containsText" text="TBD/??">
      <formula>NOT(ISERROR(SEARCH("TBD/??",BG15)))</formula>
    </cfRule>
    <cfRule type="containsText" dxfId="477" priority="160" operator="containsText" text="L1 - REDD+ Program Admin and Mgt">
      <formula>NOT(ISERROR(SEARCH("L1 - REDD+ Program Admin and Mgt",BG15)))</formula>
    </cfRule>
  </conditionalFormatting>
  <conditionalFormatting sqref="BG20">
    <cfRule type="containsText" dxfId="476" priority="151" operator="containsText" text="L3 - Subprograms (in planning)">
      <formula>NOT(ISERROR(SEARCH("L3 - Subprograms (in planning)",BG20)))</formula>
    </cfRule>
    <cfRule type="containsText" dxfId="475" priority="152" operator="containsText" text="L3 - Subprograms (w/plans)">
      <formula>NOT(ISERROR(SEARCH("L3 - Subprograms (w/plans)",BG20)))</formula>
    </cfRule>
    <cfRule type="containsText" dxfId="474" priority="153" operator="containsText" text="L2 - Policies and Strategies REDD+ and Land-use">
      <formula>NOT(ISERROR(SEARCH("L2 - Policies and Strategies REDD+ and Land-use",BG20)))</formula>
    </cfRule>
    <cfRule type="containsText" dxfId="473" priority="154" operator="containsText" text="TBD/??">
      <formula>NOT(ISERROR(SEARCH("TBD/??",BG20)))</formula>
    </cfRule>
    <cfRule type="containsText" dxfId="472" priority="155" operator="containsText" text="L1 - REDD+ Program Admin and Mgt">
      <formula>NOT(ISERROR(SEARCH("L1 - REDD+ Program Admin and Mgt",BG20)))</formula>
    </cfRule>
  </conditionalFormatting>
  <conditionalFormatting sqref="BG22">
    <cfRule type="containsText" dxfId="471" priority="146" operator="containsText" text="L3 - Subprograms (in planning)">
      <formula>NOT(ISERROR(SEARCH("L3 - Subprograms (in planning)",BG22)))</formula>
    </cfRule>
    <cfRule type="containsText" dxfId="470" priority="147" operator="containsText" text="L3 - Subprograms (w/plans)">
      <formula>NOT(ISERROR(SEARCH("L3 - Subprograms (w/plans)",BG22)))</formula>
    </cfRule>
    <cfRule type="containsText" dxfId="469" priority="148" operator="containsText" text="L2 - Policies and Strategies REDD+ and Land-use">
      <formula>NOT(ISERROR(SEARCH("L2 - Policies and Strategies REDD+ and Land-use",BG22)))</formula>
    </cfRule>
    <cfRule type="containsText" dxfId="468" priority="149" operator="containsText" text="TBD/??">
      <formula>NOT(ISERROR(SEARCH("TBD/??",BG22)))</formula>
    </cfRule>
    <cfRule type="containsText" dxfId="467" priority="150" operator="containsText" text="L1 - REDD+ Program Admin and Mgt">
      <formula>NOT(ISERROR(SEARCH("L1 - REDD+ Program Admin and Mgt",BG22)))</formula>
    </cfRule>
  </conditionalFormatting>
  <conditionalFormatting sqref="BG34">
    <cfRule type="containsText" dxfId="466" priority="141" operator="containsText" text="L3 - Subprograms (in planning)">
      <formula>NOT(ISERROR(SEARCH("L3 - Subprograms (in planning)",BG34)))</formula>
    </cfRule>
    <cfRule type="containsText" dxfId="465" priority="142" operator="containsText" text="L3 - Subprograms (w/plans)">
      <formula>NOT(ISERROR(SEARCH("L3 - Subprograms (w/plans)",BG34)))</formula>
    </cfRule>
    <cfRule type="containsText" dxfId="464" priority="143" operator="containsText" text="L2 - Policies and Strategies REDD+ and Land-use">
      <formula>NOT(ISERROR(SEARCH("L2 - Policies and Strategies REDD+ and Land-use",BG34)))</formula>
    </cfRule>
    <cfRule type="containsText" dxfId="463" priority="144" operator="containsText" text="TBD/??">
      <formula>NOT(ISERROR(SEARCH("TBD/??",BG34)))</formula>
    </cfRule>
    <cfRule type="containsText" dxfId="462" priority="145" operator="containsText" text="L1 - REDD+ Program Admin and Mgt">
      <formula>NOT(ISERROR(SEARCH("L1 - REDD+ Program Admin and Mgt",BG34)))</formula>
    </cfRule>
  </conditionalFormatting>
  <conditionalFormatting sqref="BG37">
    <cfRule type="containsText" dxfId="461" priority="136" operator="containsText" text="L3 - Subprograms (in planning)">
      <formula>NOT(ISERROR(SEARCH("L3 - Subprograms (in planning)",BG37)))</formula>
    </cfRule>
    <cfRule type="containsText" dxfId="460" priority="137" operator="containsText" text="L3 - Subprograms (w/plans)">
      <formula>NOT(ISERROR(SEARCH("L3 - Subprograms (w/plans)",BG37)))</formula>
    </cfRule>
    <cfRule type="containsText" dxfId="459" priority="138" operator="containsText" text="L2 - Policies and Strategies REDD+ and Land-use">
      <formula>NOT(ISERROR(SEARCH("L2 - Policies and Strategies REDD+ and Land-use",BG37)))</formula>
    </cfRule>
    <cfRule type="containsText" dxfId="458" priority="139" operator="containsText" text="TBD/??">
      <formula>NOT(ISERROR(SEARCH("TBD/??",BG37)))</formula>
    </cfRule>
    <cfRule type="containsText" dxfId="457" priority="140" operator="containsText" text="L1 - REDD+ Program Admin and Mgt">
      <formula>NOT(ISERROR(SEARCH("L1 - REDD+ Program Admin and Mgt",BG37)))</formula>
    </cfRule>
  </conditionalFormatting>
  <conditionalFormatting sqref="BG38">
    <cfRule type="containsText" dxfId="456" priority="131" operator="containsText" text="L3 - Subprograms (in planning)">
      <formula>NOT(ISERROR(SEARCH("L3 - Subprograms (in planning)",BG38)))</formula>
    </cfRule>
    <cfRule type="containsText" dxfId="455" priority="132" operator="containsText" text="L3 - Subprograms (w/plans)">
      <formula>NOT(ISERROR(SEARCH("L3 - Subprograms (w/plans)",BG38)))</formula>
    </cfRule>
    <cfRule type="containsText" dxfId="454" priority="133" operator="containsText" text="L2 - Policies and Strategies REDD+ and Land-use">
      <formula>NOT(ISERROR(SEARCH("L2 - Policies and Strategies REDD+ and Land-use",BG38)))</formula>
    </cfRule>
    <cfRule type="containsText" dxfId="453" priority="134" operator="containsText" text="TBD/??">
      <formula>NOT(ISERROR(SEARCH("TBD/??",BG38)))</formula>
    </cfRule>
    <cfRule type="containsText" dxfId="452" priority="135" operator="containsText" text="L1 - REDD+ Program Admin and Mgt">
      <formula>NOT(ISERROR(SEARCH("L1 - REDD+ Program Admin and Mgt",BG38)))</formula>
    </cfRule>
  </conditionalFormatting>
  <conditionalFormatting sqref="BG40">
    <cfRule type="containsText" dxfId="451" priority="126" operator="containsText" text="L3 - Subprograms (in planning)">
      <formula>NOT(ISERROR(SEARCH("L3 - Subprograms (in planning)",BG40)))</formula>
    </cfRule>
    <cfRule type="containsText" dxfId="450" priority="127" operator="containsText" text="L3 - Subprograms (w/plans)">
      <formula>NOT(ISERROR(SEARCH("L3 - Subprograms (w/plans)",BG40)))</formula>
    </cfRule>
    <cfRule type="containsText" dxfId="449" priority="128" operator="containsText" text="L2 - Policies and Strategies REDD+ and Land-use">
      <formula>NOT(ISERROR(SEARCH("L2 - Policies and Strategies REDD+ and Land-use",BG40)))</formula>
    </cfRule>
    <cfRule type="containsText" dxfId="448" priority="129" operator="containsText" text="TBD/??">
      <formula>NOT(ISERROR(SEARCH("TBD/??",BG40)))</formula>
    </cfRule>
    <cfRule type="containsText" dxfId="447" priority="130" operator="containsText" text="L1 - REDD+ Program Admin and Mgt">
      <formula>NOT(ISERROR(SEARCH("L1 - REDD+ Program Admin and Mgt",BG40)))</formula>
    </cfRule>
  </conditionalFormatting>
  <conditionalFormatting sqref="BG41">
    <cfRule type="containsText" dxfId="446" priority="121" operator="containsText" text="L3 - Subprograms (in planning)">
      <formula>NOT(ISERROR(SEARCH("L3 - Subprograms (in planning)",BG41)))</formula>
    </cfRule>
    <cfRule type="containsText" dxfId="445" priority="122" operator="containsText" text="L3 - Subprograms (w/plans)">
      <formula>NOT(ISERROR(SEARCH("L3 - Subprograms (w/plans)",BG41)))</formula>
    </cfRule>
    <cfRule type="containsText" dxfId="444" priority="123" operator="containsText" text="L2 - Policies and Strategies REDD+ and Land-use">
      <formula>NOT(ISERROR(SEARCH("L2 - Policies and Strategies REDD+ and Land-use",BG41)))</formula>
    </cfRule>
    <cfRule type="containsText" dxfId="443" priority="124" operator="containsText" text="TBD/??">
      <formula>NOT(ISERROR(SEARCH("TBD/??",BG41)))</formula>
    </cfRule>
    <cfRule type="containsText" dxfId="442" priority="125" operator="containsText" text="L1 - REDD+ Program Admin and Mgt">
      <formula>NOT(ISERROR(SEARCH("L1 - REDD+ Program Admin and Mgt",BG41)))</formula>
    </cfRule>
  </conditionalFormatting>
  <conditionalFormatting sqref="BG46">
    <cfRule type="containsText" dxfId="441" priority="116" operator="containsText" text="L3 - Subprograms (in planning)">
      <formula>NOT(ISERROR(SEARCH("L3 - Subprograms (in planning)",BG46)))</formula>
    </cfRule>
    <cfRule type="containsText" dxfId="440" priority="117" operator="containsText" text="L3 - Subprograms (w/plans)">
      <formula>NOT(ISERROR(SEARCH("L3 - Subprograms (w/plans)",BG46)))</formula>
    </cfRule>
    <cfRule type="containsText" dxfId="439" priority="118" operator="containsText" text="L2 - Policies and Strategies REDD+ and Land-use">
      <formula>NOT(ISERROR(SEARCH("L2 - Policies and Strategies REDD+ and Land-use",BG46)))</formula>
    </cfRule>
    <cfRule type="containsText" dxfId="438" priority="119" operator="containsText" text="TBD/??">
      <formula>NOT(ISERROR(SEARCH("TBD/??",BG46)))</formula>
    </cfRule>
    <cfRule type="containsText" dxfId="437" priority="120" operator="containsText" text="L1 - REDD+ Program Admin and Mgt">
      <formula>NOT(ISERROR(SEARCH("L1 - REDD+ Program Admin and Mgt",BG46)))</formula>
    </cfRule>
  </conditionalFormatting>
  <conditionalFormatting sqref="BG48">
    <cfRule type="containsText" dxfId="436" priority="111" operator="containsText" text="L3 - Subprograms (in planning)">
      <formula>NOT(ISERROR(SEARCH("L3 - Subprograms (in planning)",BG48)))</formula>
    </cfRule>
    <cfRule type="containsText" dxfId="435" priority="112" operator="containsText" text="L3 - Subprograms (w/plans)">
      <formula>NOT(ISERROR(SEARCH("L3 - Subprograms (w/plans)",BG48)))</formula>
    </cfRule>
    <cfRule type="containsText" dxfId="434" priority="113" operator="containsText" text="L2 - Policies and Strategies REDD+ and Land-use">
      <formula>NOT(ISERROR(SEARCH("L2 - Policies and Strategies REDD+ and Land-use",BG48)))</formula>
    </cfRule>
    <cfRule type="containsText" dxfId="433" priority="114" operator="containsText" text="TBD/??">
      <formula>NOT(ISERROR(SEARCH("TBD/??",BG48)))</formula>
    </cfRule>
    <cfRule type="containsText" dxfId="432" priority="115" operator="containsText" text="L1 - REDD+ Program Admin and Mgt">
      <formula>NOT(ISERROR(SEARCH("L1 - REDD+ Program Admin and Mgt",BG48)))</formula>
    </cfRule>
  </conditionalFormatting>
  <conditionalFormatting sqref="BG49">
    <cfRule type="containsText" dxfId="431" priority="106" operator="containsText" text="L3 - Subprograms (in planning)">
      <formula>NOT(ISERROR(SEARCH("L3 - Subprograms (in planning)",BG49)))</formula>
    </cfRule>
    <cfRule type="containsText" dxfId="430" priority="107" operator="containsText" text="L3 - Subprograms (w/plans)">
      <formula>NOT(ISERROR(SEARCH("L3 - Subprograms (w/plans)",BG49)))</formula>
    </cfRule>
    <cfRule type="containsText" dxfId="429" priority="108" operator="containsText" text="L2 - Policies and Strategies REDD+ and Land-use">
      <formula>NOT(ISERROR(SEARCH("L2 - Policies and Strategies REDD+ and Land-use",BG49)))</formula>
    </cfRule>
    <cfRule type="containsText" dxfId="428" priority="109" operator="containsText" text="TBD/??">
      <formula>NOT(ISERROR(SEARCH("TBD/??",BG49)))</formula>
    </cfRule>
    <cfRule type="containsText" dxfId="427" priority="110" operator="containsText" text="L1 - REDD+ Program Admin and Mgt">
      <formula>NOT(ISERROR(SEARCH("L1 - REDD+ Program Admin and Mgt",BG49)))</formula>
    </cfRule>
  </conditionalFormatting>
  <conditionalFormatting sqref="BG51">
    <cfRule type="containsText" dxfId="426" priority="101" operator="containsText" text="L3 - Subprograms (in planning)">
      <formula>NOT(ISERROR(SEARCH("L3 - Subprograms (in planning)",BG51)))</formula>
    </cfRule>
    <cfRule type="containsText" dxfId="425" priority="102" operator="containsText" text="L3 - Subprograms (w/plans)">
      <formula>NOT(ISERROR(SEARCH("L3 - Subprograms (w/plans)",BG51)))</formula>
    </cfRule>
    <cfRule type="containsText" dxfId="424" priority="103" operator="containsText" text="L2 - Policies and Strategies REDD+ and Land-use">
      <formula>NOT(ISERROR(SEARCH("L2 - Policies and Strategies REDD+ and Land-use",BG51)))</formula>
    </cfRule>
    <cfRule type="containsText" dxfId="423" priority="104" operator="containsText" text="TBD/??">
      <formula>NOT(ISERROR(SEARCH("TBD/??",BG51)))</formula>
    </cfRule>
    <cfRule type="containsText" dxfId="422" priority="105" operator="containsText" text="L1 - REDD+ Program Admin and Mgt">
      <formula>NOT(ISERROR(SEARCH("L1 - REDD+ Program Admin and Mgt",BG51)))</formula>
    </cfRule>
  </conditionalFormatting>
  <conditionalFormatting sqref="BG10:BG11">
    <cfRule type="containsText" dxfId="421" priority="96" operator="containsText" text="L3 - Subprograms (in planning)">
      <formula>NOT(ISERROR(SEARCH("L3 - Subprograms (in planning)",BG10)))</formula>
    </cfRule>
    <cfRule type="containsText" dxfId="420" priority="97" operator="containsText" text="L3 - Subprograms (w/plans)">
      <formula>NOT(ISERROR(SEARCH("L3 - Subprograms (w/plans)",BG10)))</formula>
    </cfRule>
    <cfRule type="containsText" dxfId="419" priority="98" operator="containsText" text="L2 - Policies and Strategies REDD+ and Land-use">
      <formula>NOT(ISERROR(SEARCH("L2 - Policies and Strategies REDD+ and Land-use",BG10)))</formula>
    </cfRule>
    <cfRule type="containsText" dxfId="418" priority="99" operator="containsText" text="TBD/??">
      <formula>NOT(ISERROR(SEARCH("TBD/??",BG10)))</formula>
    </cfRule>
    <cfRule type="containsText" dxfId="417" priority="100" operator="containsText" text="L1 - REDD+ Program Admin and Mgt">
      <formula>NOT(ISERROR(SEARCH("L1 - REDD+ Program Admin and Mgt",BG10)))</formula>
    </cfRule>
  </conditionalFormatting>
  <conditionalFormatting sqref="BG16">
    <cfRule type="containsText" dxfId="416" priority="91" operator="containsText" text="L3 - Subprograms (in planning)">
      <formula>NOT(ISERROR(SEARCH("L3 - Subprograms (in planning)",BG16)))</formula>
    </cfRule>
    <cfRule type="containsText" dxfId="415" priority="92" operator="containsText" text="L3 - Subprograms (w/plans)">
      <formula>NOT(ISERROR(SEARCH("L3 - Subprograms (w/plans)",BG16)))</formula>
    </cfRule>
    <cfRule type="containsText" dxfId="414" priority="93" operator="containsText" text="L2 - Policies and Strategies REDD+ and Land-use">
      <formula>NOT(ISERROR(SEARCH("L2 - Policies and Strategies REDD+ and Land-use",BG16)))</formula>
    </cfRule>
    <cfRule type="containsText" dxfId="413" priority="94" operator="containsText" text="TBD/??">
      <formula>NOT(ISERROR(SEARCH("TBD/??",BG16)))</formula>
    </cfRule>
    <cfRule type="containsText" dxfId="412" priority="95" operator="containsText" text="L1 - REDD+ Program Admin and Mgt">
      <formula>NOT(ISERROR(SEARCH("L1 - REDD+ Program Admin and Mgt",BG16)))</formula>
    </cfRule>
  </conditionalFormatting>
  <conditionalFormatting sqref="BG17">
    <cfRule type="containsText" dxfId="411" priority="86" operator="containsText" text="L3 - Subprograms (in planning)">
      <formula>NOT(ISERROR(SEARCH("L3 - Subprograms (in planning)",BG17)))</formula>
    </cfRule>
    <cfRule type="containsText" dxfId="410" priority="87" operator="containsText" text="L3 - Subprograms (w/plans)">
      <formula>NOT(ISERROR(SEARCH("L3 - Subprograms (w/plans)",BG17)))</formula>
    </cfRule>
    <cfRule type="containsText" dxfId="409" priority="88" operator="containsText" text="L2 - Policies and Strategies REDD+ and Land-use">
      <formula>NOT(ISERROR(SEARCH("L2 - Policies and Strategies REDD+ and Land-use",BG17)))</formula>
    </cfRule>
    <cfRule type="containsText" dxfId="408" priority="89" operator="containsText" text="TBD/??">
      <formula>NOT(ISERROR(SEARCH("TBD/??",BG17)))</formula>
    </cfRule>
    <cfRule type="containsText" dxfId="407" priority="90" operator="containsText" text="L1 - REDD+ Program Admin and Mgt">
      <formula>NOT(ISERROR(SEARCH("L1 - REDD+ Program Admin and Mgt",BG17)))</formula>
    </cfRule>
  </conditionalFormatting>
  <conditionalFormatting sqref="G7:G8">
    <cfRule type="containsText" dxfId="406" priority="80" operator="containsText" text="x">
      <formula>NOT(ISERROR(SEARCH("x",G7)))</formula>
    </cfRule>
  </conditionalFormatting>
  <conditionalFormatting sqref="BG8">
    <cfRule type="containsText" dxfId="405" priority="75" operator="containsText" text="L3 - Subprograms (in planning)">
      <formula>NOT(ISERROR(SEARCH("L3 - Subprograms (in planning)",BG8)))</formula>
    </cfRule>
    <cfRule type="containsText" dxfId="404" priority="76" operator="containsText" text="L3 - Subprograms (w/plans)">
      <formula>NOT(ISERROR(SEARCH("L3 - Subprograms (w/plans)",BG8)))</formula>
    </cfRule>
    <cfRule type="containsText" dxfId="403" priority="77" operator="containsText" text="L2 - Policies and Strategies REDD+ and Land-use">
      <formula>NOT(ISERROR(SEARCH("L2 - Policies and Strategies REDD+ and Land-use",BG8)))</formula>
    </cfRule>
    <cfRule type="containsText" dxfId="402" priority="78" operator="containsText" text="TBD/??">
      <formula>NOT(ISERROR(SEARCH("TBD/??",BG8)))</formula>
    </cfRule>
    <cfRule type="containsText" dxfId="401" priority="79" operator="containsText" text="L1 - REDD+ Program Admin and Mgt">
      <formula>NOT(ISERROR(SEARCH("L1 - REDD+ Program Admin and Mgt",BG8)))</formula>
    </cfRule>
  </conditionalFormatting>
  <conditionalFormatting sqref="Q7:AE8">
    <cfRule type="containsText" dxfId="400" priority="74" operator="containsText" text="x">
      <formula>NOT(ISERROR(SEARCH("x",Q7)))</formula>
    </cfRule>
  </conditionalFormatting>
  <conditionalFormatting sqref="BG7">
    <cfRule type="containsText" dxfId="399" priority="69" operator="containsText" text="L3 - Subprograms (in planning)">
      <formula>NOT(ISERROR(SEARCH("L3 - Subprograms (in planning)",BG7)))</formula>
    </cfRule>
    <cfRule type="containsText" dxfId="398" priority="70" operator="containsText" text="L3 - Subprograms (w/plans)">
      <formula>NOT(ISERROR(SEARCH("L3 - Subprograms (w/plans)",BG7)))</formula>
    </cfRule>
    <cfRule type="containsText" dxfId="397" priority="71" operator="containsText" text="L2 - Policies and Strategies REDD+ and Land-use">
      <formula>NOT(ISERROR(SEARCH("L2 - Policies and Strategies REDD+ and Land-use",BG7)))</formula>
    </cfRule>
    <cfRule type="containsText" dxfId="396" priority="72" operator="containsText" text="TBD/??">
      <formula>NOT(ISERROR(SEARCH("TBD/??",BG7)))</formula>
    </cfRule>
    <cfRule type="containsText" dxfId="395" priority="73" operator="containsText" text="L1 - REDD+ Program Admin and Mgt">
      <formula>NOT(ISERROR(SEARCH("L1 - REDD+ Program Admin and Mgt",BG7)))</formula>
    </cfRule>
  </conditionalFormatting>
  <conditionalFormatting sqref="BG44:BG45">
    <cfRule type="containsText" dxfId="394" priority="64" operator="containsText" text="L3 - Subprograms (in planning)">
      <formula>NOT(ISERROR(SEARCH("L3 - Subprograms (in planning)",BG44)))</formula>
    </cfRule>
    <cfRule type="containsText" dxfId="393" priority="65" operator="containsText" text="L3 - Subprograms (w/plans)">
      <formula>NOT(ISERROR(SEARCH("L3 - Subprograms (w/plans)",BG44)))</formula>
    </cfRule>
    <cfRule type="containsText" dxfId="392" priority="66" operator="containsText" text="L2 - Policies and Strategies REDD+ and Land-use">
      <formula>NOT(ISERROR(SEARCH("L2 - Policies and Strategies REDD+ and Land-use",BG44)))</formula>
    </cfRule>
    <cfRule type="containsText" dxfId="391" priority="67" operator="containsText" text="TBD/??">
      <formula>NOT(ISERROR(SEARCH("TBD/??",BG44)))</formula>
    </cfRule>
    <cfRule type="containsText" dxfId="390" priority="68" operator="containsText" text="L1 - REDD+ Program Admin and Mgt">
      <formula>NOT(ISERROR(SEARCH("L1 - REDD+ Program Admin and Mgt",BG44)))</formula>
    </cfRule>
  </conditionalFormatting>
  <conditionalFormatting sqref="Q44:AE45">
    <cfRule type="containsText" dxfId="389" priority="63" operator="containsText" text="x">
      <formula>NOT(ISERROR(SEARCH("x",Q44)))</formula>
    </cfRule>
  </conditionalFormatting>
  <conditionalFormatting sqref="Q6:AE6">
    <cfRule type="containsText" dxfId="388" priority="62" operator="containsText" text="x">
      <formula>NOT(ISERROR(SEARCH("x",Q6)))</formula>
    </cfRule>
  </conditionalFormatting>
  <conditionalFormatting sqref="BG14">
    <cfRule type="containsText" dxfId="387" priority="54" operator="containsText" text="L3 - Subprograms (in planning)">
      <formula>NOT(ISERROR(SEARCH("L3 - Subprograms (in planning)",BG14)))</formula>
    </cfRule>
    <cfRule type="containsText" dxfId="386" priority="55" operator="containsText" text="L3 - Subprograms (w/plans)">
      <formula>NOT(ISERROR(SEARCH("L3 - Subprograms (w/plans)",BG14)))</formula>
    </cfRule>
    <cfRule type="containsText" dxfId="385" priority="56" operator="containsText" text="L2 - Policies and Strategies REDD+ and Land-use">
      <formula>NOT(ISERROR(SEARCH("L2 - Policies and Strategies REDD+ and Land-use",BG14)))</formula>
    </cfRule>
    <cfRule type="containsText" dxfId="384" priority="57" operator="containsText" text="TBD/??">
      <formula>NOT(ISERROR(SEARCH("TBD/??",BG14)))</formula>
    </cfRule>
    <cfRule type="containsText" dxfId="383" priority="58" operator="containsText" text="L1 - REDD+ Program Admin and Mgt">
      <formula>NOT(ISERROR(SEARCH("L1 - REDD+ Program Admin and Mgt",BG14)))</formula>
    </cfRule>
  </conditionalFormatting>
  <conditionalFormatting sqref="BG25">
    <cfRule type="containsText" dxfId="382" priority="49" operator="containsText" text="L3 - Subprograms (in planning)">
      <formula>NOT(ISERROR(SEARCH("L3 - Subprograms (in planning)",BG25)))</formula>
    </cfRule>
    <cfRule type="containsText" dxfId="381" priority="50" operator="containsText" text="L3 - Subprograms (w/plans)">
      <formula>NOT(ISERROR(SEARCH("L3 - Subprograms (w/plans)",BG25)))</formula>
    </cfRule>
    <cfRule type="containsText" dxfId="380" priority="51" operator="containsText" text="L2 - Policies and Strategies REDD+ and Land-use">
      <formula>NOT(ISERROR(SEARCH("L2 - Policies and Strategies REDD+ and Land-use",BG25)))</formula>
    </cfRule>
    <cfRule type="containsText" dxfId="379" priority="52" operator="containsText" text="TBD/??">
      <formula>NOT(ISERROR(SEARCH("TBD/??",BG25)))</formula>
    </cfRule>
    <cfRule type="containsText" dxfId="378" priority="53" operator="containsText" text="L1 - REDD+ Program Admin and Mgt">
      <formula>NOT(ISERROR(SEARCH("L1 - REDD+ Program Admin and Mgt",BG25)))</formula>
    </cfRule>
  </conditionalFormatting>
  <conditionalFormatting sqref="Q25:AE25">
    <cfRule type="containsText" dxfId="377" priority="48" operator="containsText" text="x">
      <formula>NOT(ISERROR(SEARCH("x",Q25)))</formula>
    </cfRule>
  </conditionalFormatting>
  <conditionalFormatting sqref="BG26:BG27">
    <cfRule type="containsText" dxfId="376" priority="43" operator="containsText" text="L3 - Subprograms (in planning)">
      <formula>NOT(ISERROR(SEARCH("L3 - Subprograms (in planning)",BG26)))</formula>
    </cfRule>
    <cfRule type="containsText" dxfId="375" priority="44" operator="containsText" text="L3 - Subprograms (w/plans)">
      <formula>NOT(ISERROR(SEARCH("L3 - Subprograms (w/plans)",BG26)))</formula>
    </cfRule>
    <cfRule type="containsText" dxfId="374" priority="45" operator="containsText" text="L2 - Policies and Strategies REDD+ and Land-use">
      <formula>NOT(ISERROR(SEARCH("L2 - Policies and Strategies REDD+ and Land-use",BG26)))</formula>
    </cfRule>
    <cfRule type="containsText" dxfId="373" priority="46" operator="containsText" text="TBD/??">
      <formula>NOT(ISERROR(SEARCH("TBD/??",BG26)))</formula>
    </cfRule>
    <cfRule type="containsText" dxfId="372" priority="47" operator="containsText" text="L1 - REDD+ Program Admin and Mgt">
      <formula>NOT(ISERROR(SEARCH("L1 - REDD+ Program Admin and Mgt",BG26)))</formula>
    </cfRule>
  </conditionalFormatting>
  <conditionalFormatting sqref="Q26:AE27">
    <cfRule type="containsText" dxfId="371" priority="42" operator="containsText" text="x">
      <formula>NOT(ISERROR(SEARCH("x",Q26)))</formula>
    </cfRule>
  </conditionalFormatting>
  <conditionalFormatting sqref="BG28">
    <cfRule type="containsText" dxfId="370" priority="37" operator="containsText" text="L3 - Subprograms (in planning)">
      <formula>NOT(ISERROR(SEARCH("L3 - Subprograms (in planning)",BG28)))</formula>
    </cfRule>
    <cfRule type="containsText" dxfId="369" priority="38" operator="containsText" text="L3 - Subprograms (w/plans)">
      <formula>NOT(ISERROR(SEARCH("L3 - Subprograms (w/plans)",BG28)))</formula>
    </cfRule>
    <cfRule type="containsText" dxfId="368" priority="39" operator="containsText" text="L2 - Policies and Strategies REDD+ and Land-use">
      <formula>NOT(ISERROR(SEARCH("L2 - Policies and Strategies REDD+ and Land-use",BG28)))</formula>
    </cfRule>
    <cfRule type="containsText" dxfId="367" priority="40" operator="containsText" text="TBD/??">
      <formula>NOT(ISERROR(SEARCH("TBD/??",BG28)))</formula>
    </cfRule>
    <cfRule type="containsText" dxfId="366" priority="41" operator="containsText" text="L1 - REDD+ Program Admin and Mgt">
      <formula>NOT(ISERROR(SEARCH("L1 - REDD+ Program Admin and Mgt",BG28)))</formula>
    </cfRule>
  </conditionalFormatting>
  <conditionalFormatting sqref="Q28:AE28">
    <cfRule type="containsText" dxfId="365" priority="36" operator="containsText" text="x">
      <formula>NOT(ISERROR(SEARCH("x",Q28)))</formula>
    </cfRule>
  </conditionalFormatting>
  <conditionalFormatting sqref="Q31:AE31">
    <cfRule type="containsText" dxfId="364" priority="30" operator="containsText" text="x">
      <formula>NOT(ISERROR(SEARCH("x",Q31)))</formula>
    </cfRule>
  </conditionalFormatting>
  <conditionalFormatting sqref="BG31">
    <cfRule type="containsText" dxfId="363" priority="31" operator="containsText" text="L3 - Subprograms (in planning)">
      <formula>NOT(ISERROR(SEARCH("L3 - Subprograms (in planning)",BG31)))</formula>
    </cfRule>
    <cfRule type="containsText" dxfId="362" priority="32" operator="containsText" text="L3 - Subprograms (w/plans)">
      <formula>NOT(ISERROR(SEARCH("L3 - Subprograms (w/plans)",BG31)))</formula>
    </cfRule>
    <cfRule type="containsText" dxfId="361" priority="33" operator="containsText" text="L2 - Policies and Strategies REDD+ and Land-use">
      <formula>NOT(ISERROR(SEARCH("L2 - Policies and Strategies REDD+ and Land-use",BG31)))</formula>
    </cfRule>
    <cfRule type="containsText" dxfId="360" priority="34" operator="containsText" text="TBD/??">
      <formula>NOT(ISERROR(SEARCH("TBD/??",BG31)))</formula>
    </cfRule>
    <cfRule type="containsText" dxfId="359" priority="35" operator="containsText" text="L1 - REDD+ Program Admin and Mgt">
      <formula>NOT(ISERROR(SEARCH("L1 - REDD+ Program Admin and Mgt",BG31)))</formula>
    </cfRule>
  </conditionalFormatting>
  <conditionalFormatting sqref="BG33">
    <cfRule type="containsText" dxfId="358" priority="25" operator="containsText" text="L3 - Subprograms (in planning)">
      <formula>NOT(ISERROR(SEARCH("L3 - Subprograms (in planning)",BG33)))</formula>
    </cfRule>
    <cfRule type="containsText" dxfId="357" priority="26" operator="containsText" text="L3 - Subprograms (w/plans)">
      <formula>NOT(ISERROR(SEARCH("L3 - Subprograms (w/plans)",BG33)))</formula>
    </cfRule>
    <cfRule type="containsText" dxfId="356" priority="27" operator="containsText" text="L2 - Policies and Strategies REDD+ and Land-use">
      <formula>NOT(ISERROR(SEARCH("L2 - Policies and Strategies REDD+ and Land-use",BG33)))</formula>
    </cfRule>
    <cfRule type="containsText" dxfId="355" priority="28" operator="containsText" text="TBD/??">
      <formula>NOT(ISERROR(SEARCH("TBD/??",BG33)))</formula>
    </cfRule>
    <cfRule type="containsText" dxfId="354" priority="29" operator="containsText" text="L1 - REDD+ Program Admin and Mgt">
      <formula>NOT(ISERROR(SEARCH("L1 - REDD+ Program Admin and Mgt",BG33)))</formula>
    </cfRule>
  </conditionalFormatting>
  <conditionalFormatting sqref="Q33:AE33">
    <cfRule type="containsText" dxfId="353" priority="24" operator="containsText" text="x">
      <formula>NOT(ISERROR(SEARCH("x",Q33)))</formula>
    </cfRule>
  </conditionalFormatting>
  <conditionalFormatting sqref="Q32:AE32">
    <cfRule type="containsText" dxfId="352" priority="23" operator="containsText" text="x">
      <formula>NOT(ISERROR(SEARCH("x",Q32)))</formula>
    </cfRule>
  </conditionalFormatting>
  <conditionalFormatting sqref="Q9:R9 T9:AE9">
    <cfRule type="containsText" dxfId="351" priority="22" operator="containsText" text="x">
      <formula>NOT(ISERROR(SEARCH("x",Q9)))</formula>
    </cfRule>
  </conditionalFormatting>
  <conditionalFormatting sqref="BG12:BG13">
    <cfRule type="containsText" dxfId="350" priority="16" operator="containsText" text="L3 - Subprograms (in planning)">
      <formula>NOT(ISERROR(SEARCH("L3 - Subprograms (in planning)",BG12)))</formula>
    </cfRule>
    <cfRule type="containsText" dxfId="349" priority="17" operator="containsText" text="L3 - Subprograms (w/plans)">
      <formula>NOT(ISERROR(SEARCH("L3 - Subprograms (w/plans)",BG12)))</formula>
    </cfRule>
    <cfRule type="containsText" dxfId="348" priority="18" operator="containsText" text="L2 - Policies and Strategies REDD+ and Land-use">
      <formula>NOT(ISERROR(SEARCH("L2 - Policies and Strategies REDD+ and Land-use",BG12)))</formula>
    </cfRule>
    <cfRule type="containsText" dxfId="347" priority="19" operator="containsText" text="TBD/??">
      <formula>NOT(ISERROR(SEARCH("TBD/??",BG12)))</formula>
    </cfRule>
    <cfRule type="containsText" dxfId="346" priority="20" operator="containsText" text="L1 - REDD+ Program Admin and Mgt">
      <formula>NOT(ISERROR(SEARCH("L1 - REDD+ Program Admin and Mgt",BG12)))</formula>
    </cfRule>
  </conditionalFormatting>
  <conditionalFormatting sqref="BG9">
    <cfRule type="containsText" dxfId="345" priority="11" operator="containsText" text="L3 - Subprograms (in planning)">
      <formula>NOT(ISERROR(SEARCH("L3 - Subprograms (in planning)",BG9)))</formula>
    </cfRule>
    <cfRule type="containsText" dxfId="344" priority="12" operator="containsText" text="L3 - Subprograms (w/plans)">
      <formula>NOT(ISERROR(SEARCH("L3 - Subprograms (w/plans)",BG9)))</formula>
    </cfRule>
    <cfRule type="containsText" dxfId="343" priority="13" operator="containsText" text="L2 - Policies and Strategies REDD+ and Land-use">
      <formula>NOT(ISERROR(SEARCH("L2 - Policies and Strategies REDD+ and Land-use",BG9)))</formula>
    </cfRule>
    <cfRule type="containsText" dxfId="342" priority="14" operator="containsText" text="TBD/??">
      <formula>NOT(ISERROR(SEARCH("TBD/??",BG9)))</formula>
    </cfRule>
    <cfRule type="containsText" dxfId="341" priority="15" operator="containsText" text="L1 - REDD+ Program Admin and Mgt">
      <formula>NOT(ISERROR(SEARCH("L1 - REDD+ Program Admin and Mgt",BG9)))</formula>
    </cfRule>
  </conditionalFormatting>
  <conditionalFormatting sqref="BG32">
    <cfRule type="containsText" dxfId="340" priority="6" operator="containsText" text="L3 - Subprograms (in planning)">
      <formula>NOT(ISERROR(SEARCH("L3 - Subprograms (in planning)",BG32)))</formula>
    </cfRule>
    <cfRule type="containsText" dxfId="339" priority="7" operator="containsText" text="L3 - Subprograms (w/plans)">
      <formula>NOT(ISERROR(SEARCH("L3 - Subprograms (w/plans)",BG32)))</formula>
    </cfRule>
    <cfRule type="containsText" dxfId="338" priority="8" operator="containsText" text="L2 - Policies and Strategies REDD+ and Land-use">
      <formula>NOT(ISERROR(SEARCH("L2 - Policies and Strategies REDD+ and Land-use",BG32)))</formula>
    </cfRule>
    <cfRule type="containsText" dxfId="337" priority="9" operator="containsText" text="TBD/??">
      <formula>NOT(ISERROR(SEARCH("TBD/??",BG32)))</formula>
    </cfRule>
    <cfRule type="containsText" dxfId="336" priority="10" operator="containsText" text="L1 - REDD+ Program Admin and Mgt">
      <formula>NOT(ISERROR(SEARCH("L1 - REDD+ Program Admin and Mgt",BG32)))</formula>
    </cfRule>
  </conditionalFormatting>
  <conditionalFormatting sqref="BG6">
    <cfRule type="containsText" dxfId="335" priority="1" operator="containsText" text="L3 - Subprograms (in planning)">
      <formula>NOT(ISERROR(SEARCH("L3 - Subprograms (in planning)",BG6)))</formula>
    </cfRule>
    <cfRule type="containsText" dxfId="334" priority="2" operator="containsText" text="L3 - Subprograms (w/plans)">
      <formula>NOT(ISERROR(SEARCH("L3 - Subprograms (w/plans)",BG6)))</formula>
    </cfRule>
    <cfRule type="containsText" dxfId="333" priority="3" operator="containsText" text="L2 - Policies and Strategies REDD+ and Land-use">
      <formula>NOT(ISERROR(SEARCH("L2 - Policies and Strategies REDD+ and Land-use",BG6)))</formula>
    </cfRule>
    <cfRule type="containsText" dxfId="332" priority="4" operator="containsText" text="TBD/??">
      <formula>NOT(ISERROR(SEARCH("TBD/??",BG6)))</formula>
    </cfRule>
    <cfRule type="containsText" dxfId="331" priority="5" operator="containsText" text="L1 - REDD+ Program Admin and Mgt">
      <formula>NOT(ISERROR(SEARCH("L1 - REDD+ Program Admin and Mgt",BG6)))</formula>
    </cfRule>
  </conditionalFormatting>
  <dataValidations disablePrompts="1" count="1">
    <dataValidation type="list" allowBlank="1" showInputMessage="1" showErrorMessage="1" sqref="AG41 AG43:AG50 AG52:AG57 AG19 AG21:AG39 AG4:AG16 BG4:BG57">
      <formula1>#REF!</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302" operator="containsText" text="x" id="{4BAB8E4C-E002-4A8A-AB75-5E48AA04B36B}">
            <xm:f>NOT(ISERROR(SEARCH("x",'\EEVA\Mis Archivos\Laborales\Casos FONAFIFO\Caso Estrategia REDD\Análisis\Implementación\[Costos Institucionales Nuevas PAMs ENREDD+ V3.xlsb]PAAs (E2015)'!#REF!)))</xm:f>
            <x14:dxf>
              <fill>
                <patternFill>
                  <bgColor theme="0" tint="-0.24994659260841701"/>
                </patternFill>
              </fill>
            </x14:dxf>
          </x14:cfRule>
          <xm:sqref>G51</xm:sqref>
        </x14:conditionalFormatting>
        <x14:conditionalFormatting xmlns:xm="http://schemas.microsoft.com/office/excel/2006/main">
          <x14:cfRule type="containsText" priority="316" operator="containsText" text="x" id="{E2A78B09-1E64-4006-B976-5E723132D3F4}">
            <xm:f>NOT(ISERROR(SEARCH("x",'\EEVA\Mis Archivos\Laborales\Casos FONAFIFO\Caso Estrategia REDD\Análisis\Implementación\[Costos Institucionales Nuevas PAMs ENREDD+ V3.xlsb]PAAs (E2015)'!#REF!)))</xm:f>
            <x14:dxf>
              <fill>
                <patternFill>
                  <bgColor theme="0" tint="-0.24994659260841701"/>
                </patternFill>
              </fill>
            </x14:dxf>
          </x14:cfRule>
          <xm:sqref>G12:G13</xm:sqref>
        </x14:conditionalFormatting>
        <x14:conditionalFormatting xmlns:xm="http://schemas.microsoft.com/office/excel/2006/main">
          <x14:cfRule type="containsText" priority="317" operator="containsText" text="x" id="{4A89D970-DCCA-42DE-BC5B-32A5C99904D5}">
            <xm:f>NOT(ISERROR(SEARCH("x",'\EEVA\Mis Archivos\Laborales\Casos FONAFIFO\Caso Estrategia REDD\Análisis\Implementación\[Costos Institucionales Nuevas PAMs ENREDD+ V3.xlsb]PAAs (E2015)'!#REF!)))</xm:f>
            <x14:dxf>
              <fill>
                <patternFill>
                  <bgColor theme="0" tint="-0.24994659260841701"/>
                </patternFill>
              </fill>
            </x14:dxf>
          </x14:cfRule>
          <xm:sqref>G14</xm:sqref>
        </x14:conditionalFormatting>
        <x14:conditionalFormatting xmlns:xm="http://schemas.microsoft.com/office/excel/2006/main">
          <x14:cfRule type="containsText" priority="288" operator="containsText" text="x" id="{831DE6DE-1F1A-4920-9EF3-D31F7B686A39}">
            <xm:f>NOT(ISERROR(SEARCH("x",'\EEVA\Mis Archivos\Laborales\Casos FONAFIFO\Caso Estrategia REDD\Análisis\Implementación\[Costos Institucionales Nuevas PAMs ENREDD+ V3.xlsb]PAAs (E2015)'!#REF!)))</xm:f>
            <x14:dxf>
              <fill>
                <patternFill>
                  <bgColor theme="0" tint="-0.24994659260841701"/>
                </patternFill>
              </fill>
            </x14:dxf>
          </x14:cfRule>
          <xm:sqref>G43</xm:sqref>
        </x14:conditionalFormatting>
        <x14:conditionalFormatting xmlns:xm="http://schemas.microsoft.com/office/excel/2006/main">
          <x14:cfRule type="containsText" priority="318" operator="containsText" text="x" id="{F4BDD69D-4087-4ECF-9BBA-4345DBA3C6C5}">
            <xm:f>NOT(ISERROR(SEARCH("x",'\EEVA\Mis Archivos\Laborales\Casos FONAFIFO\Caso Estrategia REDD\Análisis\Implementación\[Costos Institucionales Nuevas PAMs ENREDD+ V3.xlsb]PAAs (E2015)'!#REF!)))</xm:f>
            <x14:dxf>
              <fill>
                <patternFill>
                  <bgColor theme="0" tint="-0.24994659260841701"/>
                </patternFill>
              </fill>
            </x14:dxf>
          </x14:cfRule>
          <xm:sqref>G48</xm:sqref>
        </x14:conditionalFormatting>
        <x14:conditionalFormatting xmlns:xm="http://schemas.microsoft.com/office/excel/2006/main">
          <x14:cfRule type="containsText" priority="319" operator="containsText" text="x" id="{8949CCCC-A512-4149-B3E9-058D35F5E245}">
            <xm:f>NOT(ISERROR(SEARCH("x",'\EEVA\Mis Archivos\Laborales\Casos FONAFIFO\Caso Estrategia REDD\Análisis\Implementación\[Costos Institucionales Nuevas PAMs ENREDD+ V3.xlsb]PAAs (E2015)'!#REF!)))</xm:f>
            <x14:dxf>
              <fill>
                <patternFill>
                  <bgColor theme="0" tint="-0.24994659260841701"/>
                </patternFill>
              </fill>
            </x14:dxf>
          </x14:cfRule>
          <xm:sqref>G56</xm:sqref>
        </x14:conditionalFormatting>
        <x14:conditionalFormatting xmlns:xm="http://schemas.microsoft.com/office/excel/2006/main">
          <x14:cfRule type="containsText" priority="249" operator="containsText" text="x" id="{5EBCF57F-7F8D-4702-81F3-1A9F1A1B5B18}">
            <xm:f>NOT(ISERROR(SEARCH("x",'\EEVA\Mis Archivos\Laborales\Casos FONAFIFO\Caso Estrategia REDD\Análisis\Implementación\[Costos Institucionales Nuevas PAMs ENREDD+ V3.xlsb]PAAs (E2015)'!#REF!)))</xm:f>
            <x14:dxf>
              <fill>
                <patternFill>
                  <bgColor theme="0" tint="-0.24994659260841701"/>
                </patternFill>
              </fill>
            </x14:dxf>
          </x14:cfRule>
          <xm:sqref>Q43:AE43</xm:sqref>
        </x14:conditionalFormatting>
        <x14:conditionalFormatting xmlns:xm="http://schemas.microsoft.com/office/excel/2006/main">
          <x14:cfRule type="containsText" priority="242" operator="containsText" text="x" id="{2FD864B5-DDA4-4E11-9E87-F21982261F22}">
            <xm:f>NOT(ISERROR(SEARCH("x",'\EEVA\Mis Archivos\Laborales\Casos FONAFIFO\Caso Estrategia REDD\Análisis\Implementación\[Costos Institucionales Nuevas PAMs ENREDD+ V3.xlsb]PAAs (E2015)'!#REF!)))</xm:f>
            <x14:dxf>
              <fill>
                <patternFill>
                  <bgColor theme="0" tint="-0.24994659260841701"/>
                </patternFill>
              </fill>
            </x14:dxf>
          </x14:cfRule>
          <xm:sqref>Q48:AE48</xm:sqref>
        </x14:conditionalFormatting>
        <x14:conditionalFormatting xmlns:xm="http://schemas.microsoft.com/office/excel/2006/main">
          <x14:cfRule type="containsText" priority="227" operator="containsText" text="x" id="{B7D0D5D9-8F9A-4F9D-8E3A-B1CC08FBD9FB}">
            <xm:f>NOT(ISERROR(SEARCH("x",'\EEVA\Mis Archivos\Laborales\Casos FONAFIFO\Caso Estrategia REDD\Análisis\Implementación\[Costos Institucionales Nuevas PAMs ENREDD+ V3.xlsb]PAAs (E2015)'!#REF!)))</xm:f>
            <x14:dxf>
              <fill>
                <patternFill>
                  <bgColor theme="0" tint="-0.24994659260841701"/>
                </patternFill>
              </fill>
            </x14:dxf>
          </x14:cfRule>
          <xm:sqref>Q56:AE56</xm:sqref>
        </x14:conditionalFormatting>
        <x14:conditionalFormatting xmlns:xm="http://schemas.microsoft.com/office/excel/2006/main">
          <x14:cfRule type="containsText" priority="61" operator="containsText" text="x" id="{16429327-69E2-4B59-843D-1470D02A987F}">
            <xm:f>NOT(ISERROR(SEARCH("x",'\EEVA\Mis Archivos\Laborales\Casos FONAFIFO\Caso Estrategia REDD\Análisis\Implementación\[Costos Institucionales Nuevas PAMs ENREDD+ V3.xlsb]PAAs (E2015)'!#REF!)))</xm:f>
            <x14:dxf>
              <fill>
                <patternFill>
                  <bgColor theme="0" tint="-0.24994659260841701"/>
                </patternFill>
              </fill>
            </x14:dxf>
          </x14:cfRule>
          <xm:sqref>Q12:AE12</xm:sqref>
        </x14:conditionalFormatting>
        <x14:conditionalFormatting xmlns:xm="http://schemas.microsoft.com/office/excel/2006/main">
          <x14:cfRule type="containsText" priority="60" operator="containsText" text="x" id="{0DD5973B-5041-4900-8C2D-833D48B874F8}">
            <xm:f>NOT(ISERROR(SEARCH("x",'\EEVA\Mis Archivos\Laborales\Casos FONAFIFO\Caso Estrategia REDD\Análisis\Implementación\[Costos Institucionales Nuevas PAMs ENREDD+ V3.xlsb]PAAs (E2015)'!#REF!)))</xm:f>
            <x14:dxf>
              <fill>
                <patternFill>
                  <bgColor theme="0" tint="-0.24994659260841701"/>
                </patternFill>
              </fill>
            </x14:dxf>
          </x14:cfRule>
          <xm:sqref>Q13:AE13</xm:sqref>
        </x14:conditionalFormatting>
        <x14:conditionalFormatting xmlns:xm="http://schemas.microsoft.com/office/excel/2006/main">
          <x14:cfRule type="containsText" priority="59" operator="containsText" text="x" id="{4EDF402D-7D9C-4D6B-930E-92ED1B964518}">
            <xm:f>NOT(ISERROR(SEARCH("x",'\EEVA\Mis Archivos\Laborales\Casos FONAFIFO\Caso Estrategia REDD\Análisis\Implementación\[Costos Institucionales Nuevas PAMs ENREDD+ V3.xlsb]PAAs (E2015)'!#REF!)))</xm:f>
            <x14:dxf>
              <fill>
                <patternFill>
                  <bgColor theme="0" tint="-0.24994659260841701"/>
                </patternFill>
              </fill>
            </x14:dxf>
          </x14:cfRule>
          <xm:sqref>Q14:AE14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3"/>
  <sheetViews>
    <sheetView showGridLines="0" zoomScale="106" zoomScaleNormal="106" zoomScalePageLayoutView="130" workbookViewId="0">
      <selection activeCell="A104" sqref="A104"/>
    </sheetView>
  </sheetViews>
  <sheetFormatPr baseColWidth="10" defaultColWidth="8.7109375" defaultRowHeight="12.75" x14ac:dyDescent="0.25"/>
  <cols>
    <col min="1" max="1" width="4.85546875" style="102" customWidth="1"/>
    <col min="2" max="2" width="12.140625" style="102" customWidth="1"/>
    <col min="3" max="3" width="10.140625" style="102" customWidth="1"/>
    <col min="4" max="4" width="9.28515625" style="102" customWidth="1"/>
    <col min="5" max="5" width="90.7109375" style="102" customWidth="1"/>
    <col min="6" max="15" width="10.7109375" style="102" customWidth="1"/>
    <col min="16" max="16" width="10.7109375" style="102" bestFit="1" customWidth="1"/>
    <col min="17" max="17" width="9" style="102" bestFit="1" customWidth="1"/>
    <col min="18" max="18" width="9.5703125" style="102" customWidth="1"/>
    <col min="19" max="20" width="8.7109375" style="102"/>
    <col min="21" max="21" width="9.7109375" style="102" bestFit="1" customWidth="1"/>
    <col min="22" max="22" width="8.7109375" style="102"/>
    <col min="23" max="23" width="12" style="102" customWidth="1"/>
    <col min="24" max="16384" width="8.7109375" style="102"/>
  </cols>
  <sheetData>
    <row r="1" spans="1:24" s="103" customFormat="1" ht="24.95" customHeight="1" thickBot="1" x14ac:dyDescent="0.3">
      <c r="A1" s="416" t="s">
        <v>499</v>
      </c>
      <c r="B1" s="371"/>
      <c r="C1" s="371"/>
      <c r="D1" s="371"/>
      <c r="E1" s="371"/>
      <c r="F1" s="594"/>
      <c r="G1" s="594"/>
      <c r="H1" s="594"/>
      <c r="I1" s="594"/>
      <c r="J1" s="594"/>
      <c r="K1" s="594"/>
      <c r="L1" s="594"/>
      <c r="M1" s="594"/>
      <c r="N1" s="594"/>
      <c r="O1" s="594"/>
      <c r="P1" s="594"/>
      <c r="Q1" s="594"/>
      <c r="R1" s="594"/>
      <c r="S1" s="594"/>
      <c r="T1" s="594"/>
      <c r="U1" s="594"/>
      <c r="V1" s="594"/>
      <c r="W1" s="594"/>
      <c r="X1" s="595"/>
    </row>
    <row r="2" spans="1:24" s="103" customFormat="1" ht="29.25" customHeight="1" x14ac:dyDescent="0.25">
      <c r="A2" s="372" t="s">
        <v>354</v>
      </c>
      <c r="B2" s="567" t="s">
        <v>0</v>
      </c>
      <c r="C2" s="568"/>
      <c r="D2" s="568"/>
      <c r="E2" s="598" t="s">
        <v>416</v>
      </c>
      <c r="F2" s="583" t="s">
        <v>276</v>
      </c>
      <c r="G2" s="584"/>
      <c r="H2" s="584"/>
      <c r="I2" s="584"/>
      <c r="J2" s="584"/>
      <c r="K2" s="584"/>
      <c r="L2" s="584"/>
      <c r="M2" s="584"/>
      <c r="N2" s="584"/>
      <c r="O2" s="585"/>
      <c r="P2" s="584" t="s">
        <v>277</v>
      </c>
      <c r="Q2" s="584"/>
      <c r="R2" s="584"/>
      <c r="S2" s="584"/>
      <c r="T2" s="583" t="s">
        <v>280</v>
      </c>
      <c r="U2" s="584"/>
      <c r="V2" s="584"/>
      <c r="W2" s="584"/>
      <c r="X2" s="586"/>
    </row>
    <row r="3" spans="1:24" s="103" customFormat="1" ht="46.5" customHeight="1" x14ac:dyDescent="0.25">
      <c r="A3" s="373"/>
      <c r="B3" s="107" t="s">
        <v>143</v>
      </c>
      <c r="C3" s="108" t="s">
        <v>417</v>
      </c>
      <c r="D3" s="108" t="s">
        <v>418</v>
      </c>
      <c r="E3" s="599"/>
      <c r="F3" s="114">
        <v>2017</v>
      </c>
      <c r="G3" s="115">
        <v>2018</v>
      </c>
      <c r="H3" s="115">
        <v>2019</v>
      </c>
      <c r="I3" s="115">
        <v>2020</v>
      </c>
      <c r="J3" s="115">
        <v>2021</v>
      </c>
      <c r="K3" s="115">
        <v>2022</v>
      </c>
      <c r="L3" s="115">
        <v>2023</v>
      </c>
      <c r="M3" s="115">
        <v>2024</v>
      </c>
      <c r="N3" s="115">
        <v>2025</v>
      </c>
      <c r="O3" s="116" t="s">
        <v>292</v>
      </c>
      <c r="P3" s="117" t="s">
        <v>293</v>
      </c>
      <c r="Q3" s="115" t="s">
        <v>294</v>
      </c>
      <c r="R3" s="115" t="s">
        <v>295</v>
      </c>
      <c r="S3" s="118" t="s">
        <v>296</v>
      </c>
      <c r="T3" s="114" t="s">
        <v>298</v>
      </c>
      <c r="U3" s="115" t="s">
        <v>299</v>
      </c>
      <c r="V3" s="115" t="s">
        <v>300</v>
      </c>
      <c r="W3" s="115" t="s">
        <v>305</v>
      </c>
      <c r="X3" s="122" t="s">
        <v>306</v>
      </c>
    </row>
    <row r="4" spans="1:24" s="103" customFormat="1" ht="26.1" customHeight="1" x14ac:dyDescent="0.25">
      <c r="A4" s="99"/>
      <c r="B4" s="125"/>
      <c r="C4" s="126"/>
      <c r="D4" s="127"/>
      <c r="E4" s="98" t="s">
        <v>7</v>
      </c>
      <c r="F4" s="136">
        <f>+F5+F11+F13+F16+F19+F21+F23</f>
        <v>2362607.749090909</v>
      </c>
      <c r="G4" s="133">
        <f>+G5+G11+G13+G16+G19+G21+G23</f>
        <v>2468315.6052000001</v>
      </c>
      <c r="H4" s="133">
        <f t="shared" ref="H4:N4" si="0">+H5+H11+H13+H16+H19+H21+H23</f>
        <v>2576957.5199923636</v>
      </c>
      <c r="I4" s="133">
        <f t="shared" si="0"/>
        <v>2690591.750923953</v>
      </c>
      <c r="J4" s="133">
        <f t="shared" si="0"/>
        <v>2809454.720413717</v>
      </c>
      <c r="K4" s="133">
        <f t="shared" si="0"/>
        <v>2933794.2761999127</v>
      </c>
      <c r="L4" s="133">
        <f t="shared" si="0"/>
        <v>3063870.2507320195</v>
      </c>
      <c r="M4" s="133">
        <f t="shared" si="0"/>
        <v>3199955.0481760316</v>
      </c>
      <c r="N4" s="133">
        <f t="shared" si="0"/>
        <v>3342334.2604031027</v>
      </c>
      <c r="O4" s="137">
        <f>SUM(F4:N4)</f>
        <v>25447881.181132011</v>
      </c>
      <c r="P4" s="136">
        <v>7307870.7142848158</v>
      </c>
      <c r="Q4" s="133"/>
      <c r="R4" s="133">
        <v>30004363.636363637</v>
      </c>
      <c r="S4" s="139"/>
      <c r="T4" s="138"/>
      <c r="U4" s="140">
        <v>1069000</v>
      </c>
      <c r="V4" s="126"/>
      <c r="W4" s="141">
        <v>13267217.338337235</v>
      </c>
      <c r="X4" s="132"/>
    </row>
    <row r="5" spans="1:24" s="103" customFormat="1" ht="26.1" customHeight="1" x14ac:dyDescent="0.25">
      <c r="A5" s="144" t="s">
        <v>355</v>
      </c>
      <c r="B5" s="59" t="s">
        <v>488</v>
      </c>
      <c r="C5" s="145"/>
      <c r="D5" s="146"/>
      <c r="E5" s="143" t="s">
        <v>486</v>
      </c>
      <c r="F5" s="157">
        <f>SUM(F6:F9)</f>
        <v>711617.47636363632</v>
      </c>
      <c r="G5" s="152">
        <f>SUM(G6:G9)</f>
        <v>732966.0006545455</v>
      </c>
      <c r="H5" s="152">
        <f t="shared" ref="H5:N5" si="1">SUM(H6:H9)</f>
        <v>754954.98067418183</v>
      </c>
      <c r="I5" s="152">
        <f t="shared" si="1"/>
        <v>777603.63009440736</v>
      </c>
      <c r="J5" s="152">
        <f t="shared" si="1"/>
        <v>800931.73899723962</v>
      </c>
      <c r="K5" s="152">
        <f t="shared" si="1"/>
        <v>824959.69116715679</v>
      </c>
      <c r="L5" s="152">
        <f t="shared" si="1"/>
        <v>849708.48190217151</v>
      </c>
      <c r="M5" s="152">
        <f t="shared" si="1"/>
        <v>875199.73635923665</v>
      </c>
      <c r="N5" s="152">
        <f t="shared" si="1"/>
        <v>901455.72845001379</v>
      </c>
      <c r="O5" s="156">
        <f>SUM(F5:N5)</f>
        <v>7229397.4646625891</v>
      </c>
      <c r="P5" s="380">
        <v>7229397.4646625891</v>
      </c>
      <c r="Q5" s="145"/>
      <c r="R5" s="161">
        <v>30004363.636363637</v>
      </c>
      <c r="S5" s="159"/>
      <c r="T5" s="158"/>
      <c r="U5" s="160">
        <v>0</v>
      </c>
      <c r="V5" s="145"/>
      <c r="W5" s="161">
        <v>12955069.339008832</v>
      </c>
      <c r="X5" s="151"/>
    </row>
    <row r="6" spans="1:24" s="103" customFormat="1" ht="26.1" customHeight="1" x14ac:dyDescent="0.25">
      <c r="A6" s="164" t="s">
        <v>355</v>
      </c>
      <c r="B6" s="74" t="s">
        <v>9</v>
      </c>
      <c r="C6" s="75" t="s">
        <v>402</v>
      </c>
      <c r="D6" s="75" t="s">
        <v>373</v>
      </c>
      <c r="E6" s="163" t="s">
        <v>374</v>
      </c>
      <c r="F6" s="173">
        <f>+'x Políticas'!I6*'x Políticas'!$S6</f>
        <v>0</v>
      </c>
      <c r="G6" s="174">
        <f>+'x Políticas'!J6*'x Políticas'!$S6</f>
        <v>0</v>
      </c>
      <c r="H6" s="174">
        <f>+'x Políticas'!K6*'x Políticas'!$S6</f>
        <v>0</v>
      </c>
      <c r="I6" s="174">
        <f>+'x Políticas'!L6*'x Políticas'!$S6</f>
        <v>0</v>
      </c>
      <c r="J6" s="174">
        <f>+'x Políticas'!M6*'x Políticas'!$S6</f>
        <v>0</v>
      </c>
      <c r="K6" s="174">
        <f>+'x Políticas'!N6*'x Políticas'!$S6</f>
        <v>0</v>
      </c>
      <c r="L6" s="174">
        <f>+'x Políticas'!O6*'x Políticas'!$S6</f>
        <v>0</v>
      </c>
      <c r="M6" s="174">
        <f>+'x Políticas'!P6*'x Políticas'!$S6</f>
        <v>0</v>
      </c>
      <c r="N6" s="174">
        <f>+'x Políticas'!Q6*'x Políticas'!$S6</f>
        <v>0</v>
      </c>
      <c r="O6" s="175">
        <f>+'x Políticas'!R6*'x Políticas'!$S6</f>
        <v>0</v>
      </c>
      <c r="P6" s="176"/>
      <c r="Q6" s="75"/>
      <c r="R6" s="177">
        <v>1</v>
      </c>
      <c r="S6" s="178" t="s">
        <v>383</v>
      </c>
      <c r="T6" s="84"/>
      <c r="U6" s="85"/>
      <c r="V6" s="85"/>
      <c r="W6" s="181">
        <v>10000000</v>
      </c>
      <c r="X6" s="182" t="s">
        <v>375</v>
      </c>
    </row>
    <row r="7" spans="1:24" s="103" customFormat="1" ht="26.1" customHeight="1" x14ac:dyDescent="0.25">
      <c r="A7" s="185"/>
      <c r="B7" s="80"/>
      <c r="C7" s="81"/>
      <c r="D7" s="81"/>
      <c r="E7" s="184"/>
      <c r="F7" s="193">
        <f>+'x Políticas'!I7*'x Políticas'!$S7</f>
        <v>0</v>
      </c>
      <c r="G7" s="194">
        <f>+'x Políticas'!J7*'x Políticas'!$S7</f>
        <v>0</v>
      </c>
      <c r="H7" s="194">
        <f>+'x Políticas'!K7*'x Políticas'!$S7</f>
        <v>0</v>
      </c>
      <c r="I7" s="194">
        <f>+'x Políticas'!L7*'x Políticas'!$S7</f>
        <v>0</v>
      </c>
      <c r="J7" s="194">
        <f>+'x Políticas'!M7*'x Políticas'!$S7</f>
        <v>0</v>
      </c>
      <c r="K7" s="194">
        <f>+'x Políticas'!N7*'x Políticas'!$S7</f>
        <v>0</v>
      </c>
      <c r="L7" s="194">
        <f>+'x Políticas'!O7*'x Políticas'!$S7</f>
        <v>0</v>
      </c>
      <c r="M7" s="194">
        <f>+'x Políticas'!P7*'x Políticas'!$S7</f>
        <v>0</v>
      </c>
      <c r="N7" s="194">
        <f>+'x Políticas'!Q7*'x Políticas'!$S7</f>
        <v>0</v>
      </c>
      <c r="O7" s="195">
        <f>+'x Políticas'!R7*'x Políticas'!$S7</f>
        <v>0</v>
      </c>
      <c r="P7" s="196"/>
      <c r="Q7" s="81"/>
      <c r="R7" s="197"/>
      <c r="S7" s="198"/>
      <c r="T7" s="86"/>
      <c r="U7" s="87"/>
      <c r="V7" s="87"/>
      <c r="W7" s="201">
        <v>0</v>
      </c>
      <c r="X7" s="202"/>
    </row>
    <row r="8" spans="1:24" s="103" customFormat="1" ht="26.1" customHeight="1" x14ac:dyDescent="0.25">
      <c r="A8" s="205" t="s">
        <v>356</v>
      </c>
      <c r="B8" s="47" t="s">
        <v>4</v>
      </c>
      <c r="C8" s="48" t="s">
        <v>462</v>
      </c>
      <c r="D8" s="48" t="s">
        <v>397</v>
      </c>
      <c r="E8" s="204" t="s">
        <v>10</v>
      </c>
      <c r="F8" s="212">
        <f>+'x Políticas'!I8*'x Políticas'!$S8</f>
        <v>0</v>
      </c>
      <c r="G8" s="170">
        <f>+'x Políticas'!J8*'x Políticas'!$S8</f>
        <v>0</v>
      </c>
      <c r="H8" s="170">
        <f>+'x Políticas'!K8*'x Políticas'!$S8</f>
        <v>0</v>
      </c>
      <c r="I8" s="170">
        <f>+'x Políticas'!L8*'x Políticas'!$S8</f>
        <v>0</v>
      </c>
      <c r="J8" s="170">
        <f>+'x Políticas'!M8*'x Políticas'!$S8</f>
        <v>0</v>
      </c>
      <c r="K8" s="170">
        <f>+'x Políticas'!N8*'x Políticas'!$S8</f>
        <v>0</v>
      </c>
      <c r="L8" s="170">
        <f>+'x Políticas'!O8*'x Políticas'!$S8</f>
        <v>0</v>
      </c>
      <c r="M8" s="170">
        <f>+'x Políticas'!P8*'x Políticas'!$S8</f>
        <v>0</v>
      </c>
      <c r="N8" s="170">
        <f>+'x Políticas'!Q8*'x Políticas'!$S8</f>
        <v>0</v>
      </c>
      <c r="O8" s="213">
        <f>+'x Políticas'!R8*'x Políticas'!$S8</f>
        <v>0</v>
      </c>
      <c r="P8" s="214"/>
      <c r="Q8" s="48"/>
      <c r="R8" s="215">
        <v>1</v>
      </c>
      <c r="S8" s="216" t="s">
        <v>436</v>
      </c>
      <c r="T8" s="70"/>
      <c r="U8" s="71"/>
      <c r="V8" s="71"/>
      <c r="W8" s="221">
        <v>39272.727272727272</v>
      </c>
      <c r="X8" s="222"/>
    </row>
    <row r="9" spans="1:24" s="103" customFormat="1" ht="26.1" customHeight="1" x14ac:dyDescent="0.25">
      <c r="A9" s="225" t="s">
        <v>355</v>
      </c>
      <c r="B9" s="74" t="s">
        <v>3</v>
      </c>
      <c r="C9" s="75" t="s">
        <v>412</v>
      </c>
      <c r="D9" s="75" t="s">
        <v>396</v>
      </c>
      <c r="E9" s="224" t="s">
        <v>37</v>
      </c>
      <c r="F9" s="376">
        <f>+'x Políticas'!I9*'x Políticas'!$S9</f>
        <v>711617.47636363632</v>
      </c>
      <c r="G9" s="174">
        <f>+'x Políticas'!J9*'x Políticas'!$S9</f>
        <v>732966.0006545455</v>
      </c>
      <c r="H9" s="174">
        <f>+'x Políticas'!K9*'x Políticas'!$S9</f>
        <v>754954.98067418183</v>
      </c>
      <c r="I9" s="174">
        <f>+'x Políticas'!L9*'x Políticas'!$S9</f>
        <v>777603.63009440736</v>
      </c>
      <c r="J9" s="174">
        <f>+'x Políticas'!M9*'x Políticas'!$S9</f>
        <v>800931.73899723962</v>
      </c>
      <c r="K9" s="174">
        <f>+'x Políticas'!N9*'x Políticas'!$S9</f>
        <v>824959.69116715679</v>
      </c>
      <c r="L9" s="174">
        <f>+'x Políticas'!O9*'x Políticas'!$S9</f>
        <v>849708.48190217151</v>
      </c>
      <c r="M9" s="174">
        <f>+'x Políticas'!P9*'x Políticas'!$S9</f>
        <v>875199.73635923665</v>
      </c>
      <c r="N9" s="174">
        <f>+'x Políticas'!Q9*'x Políticas'!$S9</f>
        <v>901455.72845001379</v>
      </c>
      <c r="O9" s="175">
        <f>+'x Políticas'!R9*'x Políticas'!$S9</f>
        <v>7229397.4646625891</v>
      </c>
      <c r="P9" s="227">
        <v>1</v>
      </c>
      <c r="Q9" s="75"/>
      <c r="R9" s="228"/>
      <c r="S9" s="178"/>
      <c r="T9" s="84"/>
      <c r="U9" s="180">
        <v>342000</v>
      </c>
      <c r="V9" s="85" t="s">
        <v>337</v>
      </c>
      <c r="W9" s="181">
        <v>2915796.6117361053</v>
      </c>
      <c r="X9" s="182"/>
    </row>
    <row r="10" spans="1:24" s="103" customFormat="1" ht="26.1" customHeight="1" x14ac:dyDescent="0.25">
      <c r="A10" s="234"/>
      <c r="B10" s="80"/>
      <c r="C10" s="81"/>
      <c r="D10" s="81"/>
      <c r="E10" s="233"/>
      <c r="F10" s="193">
        <f>+'x Políticas'!I10*'x Políticas'!$S10</f>
        <v>0</v>
      </c>
      <c r="G10" s="194">
        <f>+'x Políticas'!J10*'x Políticas'!$S10</f>
        <v>0</v>
      </c>
      <c r="H10" s="194">
        <f>+'x Políticas'!K10*'x Políticas'!$S10</f>
        <v>0</v>
      </c>
      <c r="I10" s="194">
        <f>+'x Políticas'!L10*'x Políticas'!$S10</f>
        <v>0</v>
      </c>
      <c r="J10" s="194">
        <f>+'x Políticas'!M10*'x Políticas'!$S10</f>
        <v>0</v>
      </c>
      <c r="K10" s="194">
        <f>+'x Políticas'!N10*'x Políticas'!$S10</f>
        <v>0</v>
      </c>
      <c r="L10" s="194">
        <f>+'x Políticas'!O10*'x Políticas'!$S10</f>
        <v>0</v>
      </c>
      <c r="M10" s="194">
        <f>+'x Políticas'!P10*'x Políticas'!$S10</f>
        <v>0</v>
      </c>
      <c r="N10" s="194">
        <f>+'x Políticas'!Q10*'x Políticas'!$S10</f>
        <v>0</v>
      </c>
      <c r="O10" s="195">
        <f>+'x Políticas'!R10*'x Políticas'!$S10</f>
        <v>0</v>
      </c>
      <c r="P10" s="196"/>
      <c r="Q10" s="81"/>
      <c r="R10" s="81"/>
      <c r="S10" s="198"/>
      <c r="T10" s="86"/>
      <c r="U10" s="87"/>
      <c r="V10" s="87"/>
      <c r="W10" s="201">
        <v>0</v>
      </c>
      <c r="X10" s="202"/>
    </row>
    <row r="11" spans="1:24" ht="26.1" customHeight="1" x14ac:dyDescent="0.25">
      <c r="A11" s="144" t="s">
        <v>357</v>
      </c>
      <c r="B11" s="59" t="s">
        <v>287</v>
      </c>
      <c r="C11" s="145"/>
      <c r="D11" s="60"/>
      <c r="E11" s="143" t="s">
        <v>12</v>
      </c>
      <c r="F11" s="157">
        <f>SUM(F12)</f>
        <v>0</v>
      </c>
      <c r="G11" s="152">
        <f>SUM(G12)</f>
        <v>0</v>
      </c>
      <c r="H11" s="152">
        <f t="shared" ref="H11:N11" si="2">SUM(H12)</f>
        <v>0</v>
      </c>
      <c r="I11" s="152">
        <f t="shared" si="2"/>
        <v>0</v>
      </c>
      <c r="J11" s="152">
        <f t="shared" si="2"/>
        <v>0</v>
      </c>
      <c r="K11" s="152">
        <f t="shared" si="2"/>
        <v>0</v>
      </c>
      <c r="L11" s="152">
        <f t="shared" si="2"/>
        <v>0</v>
      </c>
      <c r="M11" s="152">
        <f t="shared" si="2"/>
        <v>0</v>
      </c>
      <c r="N11" s="152">
        <f t="shared" si="2"/>
        <v>0</v>
      </c>
      <c r="O11" s="156">
        <f>SUM(F11:N11)</f>
        <v>0</v>
      </c>
      <c r="P11" s="157">
        <v>0</v>
      </c>
      <c r="Q11" s="152"/>
      <c r="R11" s="152">
        <v>0</v>
      </c>
      <c r="S11" s="159"/>
      <c r="T11" s="158"/>
      <c r="U11" s="160">
        <v>198000</v>
      </c>
      <c r="V11" s="145"/>
      <c r="W11" s="161">
        <v>120000</v>
      </c>
      <c r="X11" s="151"/>
    </row>
    <row r="12" spans="1:24" ht="26.1" customHeight="1" x14ac:dyDescent="0.25">
      <c r="A12" s="205" t="s">
        <v>357</v>
      </c>
      <c r="B12" s="47" t="s">
        <v>463</v>
      </c>
      <c r="C12" s="50" t="s">
        <v>464</v>
      </c>
      <c r="D12" s="48" t="s">
        <v>465</v>
      </c>
      <c r="E12" s="237" t="s">
        <v>459</v>
      </c>
      <c r="F12" s="212">
        <f>+'x Políticas'!I12*'x Políticas'!$S12</f>
        <v>0</v>
      </c>
      <c r="G12" s="170">
        <f>+'x Políticas'!J12*'x Políticas'!$S12</f>
        <v>0</v>
      </c>
      <c r="H12" s="170">
        <f>+'x Políticas'!K12*'x Políticas'!$S12</f>
        <v>0</v>
      </c>
      <c r="I12" s="170">
        <f>+'x Políticas'!L12*'x Políticas'!$S12</f>
        <v>0</v>
      </c>
      <c r="J12" s="170">
        <f>+'x Políticas'!M12*'x Políticas'!$S12</f>
        <v>0</v>
      </c>
      <c r="K12" s="170">
        <f>+'x Políticas'!N12*'x Políticas'!$S12</f>
        <v>0</v>
      </c>
      <c r="L12" s="170">
        <f>+'x Políticas'!O12*'x Políticas'!$S12</f>
        <v>0</v>
      </c>
      <c r="M12" s="170">
        <f>+'x Políticas'!P12*'x Políticas'!$S12</f>
        <v>0</v>
      </c>
      <c r="N12" s="170">
        <f>+'x Políticas'!Q12*'x Políticas'!$S12</f>
        <v>0</v>
      </c>
      <c r="O12" s="213">
        <f>+'x Políticas'!R12*'x Políticas'!$S12</f>
        <v>0</v>
      </c>
      <c r="P12" s="214"/>
      <c r="Q12" s="48"/>
      <c r="R12" s="48"/>
      <c r="S12" s="216"/>
      <c r="T12" s="83"/>
      <c r="U12" s="239">
        <v>198000</v>
      </c>
      <c r="V12" s="76" t="s">
        <v>461</v>
      </c>
      <c r="W12" s="240">
        <v>120000</v>
      </c>
      <c r="X12" s="222"/>
    </row>
    <row r="13" spans="1:24" ht="26.1" customHeight="1" x14ac:dyDescent="0.25">
      <c r="A13" s="144" t="s">
        <v>357</v>
      </c>
      <c r="B13" s="59" t="s">
        <v>489</v>
      </c>
      <c r="C13" s="145"/>
      <c r="D13" s="60"/>
      <c r="E13" s="143" t="s">
        <v>458</v>
      </c>
      <c r="F13" s="157">
        <v>5413.090909090909</v>
      </c>
      <c r="G13" s="152">
        <v>5683.7454545454548</v>
      </c>
      <c r="H13" s="152">
        <v>5967.9327272727269</v>
      </c>
      <c r="I13" s="152">
        <v>6266.3293636363642</v>
      </c>
      <c r="J13" s="152">
        <v>6579.6458318181831</v>
      </c>
      <c r="K13" s="152">
        <v>6908.628123409092</v>
      </c>
      <c r="L13" s="152">
        <v>7254.0595295795465</v>
      </c>
      <c r="M13" s="152">
        <v>7616.7625060585242</v>
      </c>
      <c r="N13" s="152">
        <v>7997.6006313614516</v>
      </c>
      <c r="O13" s="156">
        <v>59687.795076772258</v>
      </c>
      <c r="P13" s="157">
        <v>59687.795076772258</v>
      </c>
      <c r="Q13" s="152"/>
      <c r="R13" s="152">
        <v>0</v>
      </c>
      <c r="S13" s="159"/>
      <c r="T13" s="158"/>
      <c r="U13" s="160">
        <v>89000</v>
      </c>
      <c r="V13" s="145"/>
      <c r="W13" s="161">
        <v>17111.635692039552</v>
      </c>
      <c r="X13" s="151"/>
    </row>
    <row r="14" spans="1:24" ht="26.1" customHeight="1" x14ac:dyDescent="0.25">
      <c r="A14" s="205" t="s">
        <v>357</v>
      </c>
      <c r="B14" s="47" t="s">
        <v>5</v>
      </c>
      <c r="C14" s="48" t="s">
        <v>402</v>
      </c>
      <c r="D14" s="48" t="s">
        <v>373</v>
      </c>
      <c r="E14" s="204" t="s">
        <v>14</v>
      </c>
      <c r="F14" s="212">
        <f>+'x Políticas'!I14*'x Políticas'!$S14</f>
        <v>5413.090909090909</v>
      </c>
      <c r="G14" s="170">
        <f>+'x Políticas'!J14*'x Políticas'!$S14</f>
        <v>5683.7454545454548</v>
      </c>
      <c r="H14" s="170">
        <f>+'x Políticas'!K14*'x Políticas'!$S14</f>
        <v>5967.9327272727269</v>
      </c>
      <c r="I14" s="170">
        <f>+'x Políticas'!L14*'x Políticas'!$S14</f>
        <v>6266.3293636363642</v>
      </c>
      <c r="J14" s="170">
        <f>+'x Políticas'!M14*'x Políticas'!$S14</f>
        <v>6579.6458318181831</v>
      </c>
      <c r="K14" s="170">
        <f>+'x Políticas'!N14*'x Políticas'!$S14</f>
        <v>6908.628123409092</v>
      </c>
      <c r="L14" s="170">
        <f>+'x Políticas'!O14*'x Políticas'!$S14</f>
        <v>7254.0595295795465</v>
      </c>
      <c r="M14" s="170">
        <f>+'x Políticas'!P14*'x Políticas'!$S14</f>
        <v>7616.7625060585242</v>
      </c>
      <c r="N14" s="170">
        <f>+'x Políticas'!Q14*'x Políticas'!$S14</f>
        <v>7997.6006313614516</v>
      </c>
      <c r="O14" s="213">
        <f>+'x Políticas'!R14*'x Políticas'!$S14</f>
        <v>59687.795076772258</v>
      </c>
      <c r="P14" s="242">
        <v>1</v>
      </c>
      <c r="Q14" s="48"/>
      <c r="R14" s="48"/>
      <c r="S14" s="243"/>
      <c r="T14" s="70"/>
      <c r="U14" s="220">
        <v>89000</v>
      </c>
      <c r="V14" s="71" t="s">
        <v>378</v>
      </c>
      <c r="W14" s="221">
        <v>17111.635692039552</v>
      </c>
      <c r="X14" s="222"/>
    </row>
    <row r="15" spans="1:24" ht="26.1" customHeight="1" x14ac:dyDescent="0.25">
      <c r="A15" s="205" t="s">
        <v>357</v>
      </c>
      <c r="B15" s="47" t="s">
        <v>4</v>
      </c>
      <c r="C15" s="48" t="s">
        <v>477</v>
      </c>
      <c r="D15" s="48" t="s">
        <v>395</v>
      </c>
      <c r="E15" s="204" t="s">
        <v>475</v>
      </c>
      <c r="F15" s="212">
        <f>+'x Políticas'!I15*'x Políticas'!$S15</f>
        <v>0</v>
      </c>
      <c r="G15" s="170">
        <f>+'x Políticas'!J15*'x Políticas'!$S15</f>
        <v>0</v>
      </c>
      <c r="H15" s="170">
        <f>+'x Políticas'!K15*'x Políticas'!$S15</f>
        <v>0</v>
      </c>
      <c r="I15" s="170">
        <f>+'x Políticas'!L15*'x Políticas'!$S15</f>
        <v>0</v>
      </c>
      <c r="J15" s="170">
        <f>+'x Políticas'!M15*'x Políticas'!$S15</f>
        <v>0</v>
      </c>
      <c r="K15" s="170">
        <f>+'x Políticas'!N15*'x Políticas'!$S15</f>
        <v>0</v>
      </c>
      <c r="L15" s="170">
        <f>+'x Políticas'!O15*'x Políticas'!$S15</f>
        <v>0</v>
      </c>
      <c r="M15" s="170">
        <f>+'x Políticas'!P15*'x Políticas'!$S15</f>
        <v>0</v>
      </c>
      <c r="N15" s="170">
        <f>+'x Políticas'!Q15*'x Políticas'!$S15</f>
        <v>0</v>
      </c>
      <c r="O15" s="213">
        <f>+'x Políticas'!R15*'x Políticas'!$S15</f>
        <v>0</v>
      </c>
      <c r="P15" s="245"/>
      <c r="Q15" s="48"/>
      <c r="R15" s="48"/>
      <c r="S15" s="243"/>
      <c r="T15" s="70"/>
      <c r="U15" s="71"/>
      <c r="V15" s="71"/>
      <c r="W15" s="221">
        <v>0</v>
      </c>
      <c r="X15" s="222"/>
    </row>
    <row r="16" spans="1:24" ht="26.1" customHeight="1" x14ac:dyDescent="0.25">
      <c r="A16" s="144" t="s">
        <v>357</v>
      </c>
      <c r="B16" s="59" t="s">
        <v>4</v>
      </c>
      <c r="C16" s="145"/>
      <c r="D16" s="60"/>
      <c r="E16" s="143" t="s">
        <v>15</v>
      </c>
      <c r="F16" s="157">
        <v>1645119</v>
      </c>
      <c r="G16" s="152">
        <v>1727374.95</v>
      </c>
      <c r="H16" s="152">
        <v>1813743.6975</v>
      </c>
      <c r="I16" s="152">
        <v>1904430.8823750003</v>
      </c>
      <c r="J16" s="152">
        <v>1999652.42649375</v>
      </c>
      <c r="K16" s="152">
        <v>2099635.0478184377</v>
      </c>
      <c r="L16" s="152">
        <v>2204616.8002093593</v>
      </c>
      <c r="M16" s="152">
        <v>2314847.6402198272</v>
      </c>
      <c r="N16" s="152">
        <v>2430590.0222308184</v>
      </c>
      <c r="O16" s="156">
        <v>18140010.466847192</v>
      </c>
      <c r="P16" s="157">
        <f>+O16</f>
        <v>18140010.466847192</v>
      </c>
      <c r="Q16" s="152"/>
      <c r="R16" s="152">
        <v>0</v>
      </c>
      <c r="S16" s="159"/>
      <c r="T16" s="158"/>
      <c r="U16" s="160">
        <v>772000</v>
      </c>
      <c r="V16" s="145"/>
      <c r="W16" s="161">
        <v>7604733.4503258551</v>
      </c>
      <c r="X16" s="151"/>
    </row>
    <row r="17" spans="1:24" ht="26.1" customHeight="1" x14ac:dyDescent="0.25">
      <c r="A17" s="164" t="s">
        <v>357</v>
      </c>
      <c r="B17" s="421" t="s">
        <v>4</v>
      </c>
      <c r="C17" s="48" t="s">
        <v>438</v>
      </c>
      <c r="D17" s="48" t="s">
        <v>393</v>
      </c>
      <c r="E17" s="204" t="s">
        <v>437</v>
      </c>
      <c r="F17" s="212">
        <f>+'x Políticas'!I17*'x Políticas'!$S17</f>
        <v>0</v>
      </c>
      <c r="G17" s="170">
        <f>+'x Políticas'!J17*'x Políticas'!$S17</f>
        <v>0</v>
      </c>
      <c r="H17" s="170">
        <f>+'x Políticas'!K17*'x Políticas'!$S17</f>
        <v>0</v>
      </c>
      <c r="I17" s="170">
        <f>+'x Políticas'!L17*'x Políticas'!$S17</f>
        <v>0</v>
      </c>
      <c r="J17" s="170">
        <f>+'x Políticas'!M17*'x Políticas'!$S17</f>
        <v>0</v>
      </c>
      <c r="K17" s="170">
        <f>+'x Políticas'!N17*'x Políticas'!$S17</f>
        <v>0</v>
      </c>
      <c r="L17" s="170">
        <f>+'x Políticas'!O17*'x Políticas'!$S17</f>
        <v>0</v>
      </c>
      <c r="M17" s="170">
        <f>+'x Políticas'!P17*'x Políticas'!$S17</f>
        <v>0</v>
      </c>
      <c r="N17" s="170">
        <f>+'x Políticas'!Q17*'x Políticas'!$S17</f>
        <v>0</v>
      </c>
      <c r="O17" s="213">
        <f>+'x Políticas'!R17*'x Políticas'!$S17</f>
        <v>0</v>
      </c>
      <c r="P17" s="214"/>
      <c r="Q17" s="48"/>
      <c r="R17" s="48"/>
      <c r="S17" s="216"/>
      <c r="T17" s="70"/>
      <c r="U17" s="220">
        <v>582000</v>
      </c>
      <c r="V17" s="71" t="s">
        <v>337</v>
      </c>
      <c r="W17" s="221">
        <v>0</v>
      </c>
      <c r="X17" s="222"/>
    </row>
    <row r="18" spans="1:24" ht="26.1" customHeight="1" x14ac:dyDescent="0.25">
      <c r="A18" s="185"/>
      <c r="B18" s="47" t="s">
        <v>4</v>
      </c>
      <c r="C18" s="48" t="s">
        <v>407</v>
      </c>
      <c r="D18" s="81" t="s">
        <v>653</v>
      </c>
      <c r="E18" s="204" t="s">
        <v>442</v>
      </c>
      <c r="F18" s="212">
        <f>+'x Políticas'!I18*'x Políticas'!$S18</f>
        <v>1645119</v>
      </c>
      <c r="G18" s="170">
        <f>+'x Políticas'!J18*'x Políticas'!$S18</f>
        <v>1727374.95</v>
      </c>
      <c r="H18" s="170">
        <f>+'x Políticas'!K18*'x Políticas'!$S18</f>
        <v>1813743.6975</v>
      </c>
      <c r="I18" s="170">
        <f>+'x Políticas'!L18*'x Políticas'!$S18</f>
        <v>1904430.8823750003</v>
      </c>
      <c r="J18" s="170">
        <f>+'x Políticas'!M18*'x Políticas'!$S18</f>
        <v>1999652.42649375</v>
      </c>
      <c r="K18" s="170">
        <f>+'x Políticas'!N18*'x Políticas'!$S18</f>
        <v>2099635.0478184377</v>
      </c>
      <c r="L18" s="170">
        <f>+'x Políticas'!O18*'x Políticas'!$S18</f>
        <v>2204616.8002093593</v>
      </c>
      <c r="M18" s="170">
        <f>+'x Políticas'!P18*'x Políticas'!$S18</f>
        <v>2314847.6402198272</v>
      </c>
      <c r="N18" s="170">
        <f>+'x Políticas'!Q18*'x Políticas'!$S18</f>
        <v>2430590.0222308184</v>
      </c>
      <c r="O18" s="213">
        <f>+'x Políticas'!R18*'x Políticas'!$S18</f>
        <v>18140010.466847192</v>
      </c>
      <c r="P18" s="253">
        <v>1</v>
      </c>
      <c r="Q18" s="48"/>
      <c r="R18" s="48"/>
      <c r="S18" s="216"/>
      <c r="T18" s="70"/>
      <c r="U18" s="220">
        <v>190000</v>
      </c>
      <c r="V18" s="71" t="s">
        <v>441</v>
      </c>
      <c r="W18" s="221">
        <v>10035323.472556673</v>
      </c>
      <c r="X18" s="222"/>
    </row>
    <row r="19" spans="1:24" ht="26.1" customHeight="1" x14ac:dyDescent="0.25">
      <c r="A19" s="144" t="s">
        <v>357</v>
      </c>
      <c r="B19" s="59" t="s">
        <v>4</v>
      </c>
      <c r="C19" s="145"/>
      <c r="D19" s="60"/>
      <c r="E19" s="143" t="s">
        <v>420</v>
      </c>
      <c r="F19" s="157">
        <f>SUM(F20)</f>
        <v>0</v>
      </c>
      <c r="G19" s="152">
        <f>SUM(G20)</f>
        <v>0</v>
      </c>
      <c r="H19" s="152">
        <f t="shared" ref="H19:N19" si="3">SUM(H20)</f>
        <v>0</v>
      </c>
      <c r="I19" s="152">
        <f t="shared" si="3"/>
        <v>0</v>
      </c>
      <c r="J19" s="152">
        <f t="shared" si="3"/>
        <v>0</v>
      </c>
      <c r="K19" s="152">
        <f t="shared" si="3"/>
        <v>0</v>
      </c>
      <c r="L19" s="152">
        <f t="shared" si="3"/>
        <v>0</v>
      </c>
      <c r="M19" s="152">
        <f t="shared" si="3"/>
        <v>0</v>
      </c>
      <c r="N19" s="152">
        <f t="shared" si="3"/>
        <v>0</v>
      </c>
      <c r="O19" s="156">
        <f>SUM(F19:N19)</f>
        <v>0</v>
      </c>
      <c r="P19" s="157">
        <v>0</v>
      </c>
      <c r="Q19" s="152"/>
      <c r="R19" s="152">
        <v>0</v>
      </c>
      <c r="S19" s="159"/>
      <c r="T19" s="158"/>
      <c r="U19" s="160">
        <v>0</v>
      </c>
      <c r="V19" s="145"/>
      <c r="W19" s="161">
        <v>96000</v>
      </c>
      <c r="X19" s="151"/>
    </row>
    <row r="20" spans="1:24" ht="26.1" customHeight="1" x14ac:dyDescent="0.25">
      <c r="A20" s="205" t="s">
        <v>357</v>
      </c>
      <c r="B20" s="47" t="s">
        <v>4</v>
      </c>
      <c r="C20" s="255" t="s">
        <v>403</v>
      </c>
      <c r="D20" s="77" t="s">
        <v>393</v>
      </c>
      <c r="E20" s="204" t="s">
        <v>17</v>
      </c>
      <c r="F20" s="212">
        <f>+'x Políticas'!I20*'x Políticas'!$S20</f>
        <v>0</v>
      </c>
      <c r="G20" s="170">
        <f>+'x Políticas'!J20*'x Políticas'!$S20</f>
        <v>0</v>
      </c>
      <c r="H20" s="170">
        <f>+'x Políticas'!K20*'x Políticas'!$S20</f>
        <v>0</v>
      </c>
      <c r="I20" s="170">
        <f>+'x Políticas'!L20*'x Políticas'!$S20</f>
        <v>0</v>
      </c>
      <c r="J20" s="170">
        <f>+'x Políticas'!M20*'x Políticas'!$S20</f>
        <v>0</v>
      </c>
      <c r="K20" s="170">
        <f>+'x Políticas'!N20*'x Políticas'!$S20</f>
        <v>0</v>
      </c>
      <c r="L20" s="170">
        <f>+'x Políticas'!O20*'x Políticas'!$S20</f>
        <v>0</v>
      </c>
      <c r="M20" s="170">
        <f>+'x Políticas'!P20*'x Políticas'!$S20</f>
        <v>0</v>
      </c>
      <c r="N20" s="170">
        <f>+'x Políticas'!Q20*'x Políticas'!$S20</f>
        <v>0</v>
      </c>
      <c r="O20" s="213">
        <f>+'x Políticas'!R20*'x Políticas'!$S20</f>
        <v>0</v>
      </c>
      <c r="P20" s="214"/>
      <c r="Q20" s="48"/>
      <c r="R20" s="48"/>
      <c r="S20" s="216"/>
      <c r="T20" s="70"/>
      <c r="U20" s="71"/>
      <c r="V20" s="71"/>
      <c r="W20" s="221">
        <v>96000</v>
      </c>
      <c r="X20" s="222"/>
    </row>
    <row r="21" spans="1:24" ht="26.1" customHeight="1" x14ac:dyDescent="0.25">
      <c r="A21" s="144" t="s">
        <v>357</v>
      </c>
      <c r="B21" s="59" t="s">
        <v>6</v>
      </c>
      <c r="C21" s="145"/>
      <c r="D21" s="60"/>
      <c r="E21" s="143" t="s">
        <v>18</v>
      </c>
      <c r="F21" s="157">
        <f>SUM(F22)</f>
        <v>0</v>
      </c>
      <c r="G21" s="152">
        <f>SUM(G22)</f>
        <v>0</v>
      </c>
      <c r="H21" s="152">
        <f t="shared" ref="H21:N21" si="4">SUM(H22)</f>
        <v>0</v>
      </c>
      <c r="I21" s="152">
        <f t="shared" si="4"/>
        <v>0</v>
      </c>
      <c r="J21" s="152">
        <f t="shared" si="4"/>
        <v>0</v>
      </c>
      <c r="K21" s="152">
        <f t="shared" si="4"/>
        <v>0</v>
      </c>
      <c r="L21" s="152">
        <f t="shared" si="4"/>
        <v>0</v>
      </c>
      <c r="M21" s="152">
        <f t="shared" si="4"/>
        <v>0</v>
      </c>
      <c r="N21" s="152">
        <f t="shared" si="4"/>
        <v>0</v>
      </c>
      <c r="O21" s="156">
        <f>SUM(F21:N21)</f>
        <v>0</v>
      </c>
      <c r="P21" s="157">
        <v>0</v>
      </c>
      <c r="Q21" s="152"/>
      <c r="R21" s="152">
        <v>0</v>
      </c>
      <c r="S21" s="159"/>
      <c r="T21" s="158"/>
      <c r="U21" s="160">
        <v>200000</v>
      </c>
      <c r="V21" s="145"/>
      <c r="W21" s="161">
        <v>0</v>
      </c>
      <c r="X21" s="151"/>
    </row>
    <row r="22" spans="1:24" ht="26.1" customHeight="1" x14ac:dyDescent="0.25">
      <c r="A22" s="205" t="s">
        <v>357</v>
      </c>
      <c r="B22" s="47" t="s">
        <v>492</v>
      </c>
      <c r="C22" s="48" t="s">
        <v>403</v>
      </c>
      <c r="D22" s="48" t="s">
        <v>393</v>
      </c>
      <c r="E22" s="204" t="s">
        <v>19</v>
      </c>
      <c r="F22" s="212">
        <f>+'x Políticas'!I22*'x Políticas'!$S22</f>
        <v>0</v>
      </c>
      <c r="G22" s="170">
        <f>+'x Políticas'!J22*'x Políticas'!$S22</f>
        <v>0</v>
      </c>
      <c r="H22" s="170">
        <f>+'x Políticas'!K22*'x Políticas'!$S22</f>
        <v>0</v>
      </c>
      <c r="I22" s="170">
        <f>+'x Políticas'!L22*'x Políticas'!$S22</f>
        <v>0</v>
      </c>
      <c r="J22" s="170">
        <f>+'x Políticas'!M22*'x Políticas'!$S22</f>
        <v>0</v>
      </c>
      <c r="K22" s="170">
        <f>+'x Políticas'!N22*'x Políticas'!$S22</f>
        <v>0</v>
      </c>
      <c r="L22" s="170">
        <f>+'x Políticas'!O22*'x Políticas'!$S22</f>
        <v>0</v>
      </c>
      <c r="M22" s="170">
        <f>+'x Políticas'!P22*'x Políticas'!$S22</f>
        <v>0</v>
      </c>
      <c r="N22" s="170">
        <f>+'x Políticas'!Q22*'x Políticas'!$S22</f>
        <v>0</v>
      </c>
      <c r="O22" s="213">
        <f>+'x Políticas'!R22*'x Políticas'!$S22</f>
        <v>0</v>
      </c>
      <c r="P22" s="245"/>
      <c r="Q22" s="48"/>
      <c r="R22" s="48"/>
      <c r="S22" s="243"/>
      <c r="T22" s="70"/>
      <c r="U22" s="220">
        <v>200000</v>
      </c>
      <c r="V22" s="71" t="s">
        <v>421</v>
      </c>
      <c r="W22" s="221">
        <v>0</v>
      </c>
      <c r="X22" s="222"/>
    </row>
    <row r="23" spans="1:24" ht="26.1" customHeight="1" x14ac:dyDescent="0.25">
      <c r="A23" s="144" t="s">
        <v>355</v>
      </c>
      <c r="B23" s="59" t="s">
        <v>5</v>
      </c>
      <c r="C23" s="145"/>
      <c r="D23" s="60"/>
      <c r="E23" s="143" t="s">
        <v>20</v>
      </c>
      <c r="F23" s="157">
        <f>SUM(F24)</f>
        <v>458.18181818181819</v>
      </c>
      <c r="G23" s="152">
        <f>SUM(G24)</f>
        <v>2290.909090909091</v>
      </c>
      <c r="H23" s="152">
        <f t="shared" ref="H23:N23" si="5">SUM(H24)</f>
        <v>2290.909090909091</v>
      </c>
      <c r="I23" s="152">
        <f t="shared" si="5"/>
        <v>2290.909090909091</v>
      </c>
      <c r="J23" s="152">
        <f t="shared" si="5"/>
        <v>2290.909090909091</v>
      </c>
      <c r="K23" s="152">
        <f t="shared" si="5"/>
        <v>2290.909090909091</v>
      </c>
      <c r="L23" s="152">
        <f t="shared" si="5"/>
        <v>2290.909090909091</v>
      </c>
      <c r="M23" s="152">
        <f t="shared" si="5"/>
        <v>2290.909090909091</v>
      </c>
      <c r="N23" s="152">
        <f t="shared" si="5"/>
        <v>2290.909090909091</v>
      </c>
      <c r="O23" s="156">
        <f>SUM(F23:N23)</f>
        <v>18785.454545454548</v>
      </c>
      <c r="P23" s="157">
        <v>18785.454545454544</v>
      </c>
      <c r="Q23" s="152"/>
      <c r="R23" s="152">
        <v>0</v>
      </c>
      <c r="S23" s="159"/>
      <c r="T23" s="158"/>
      <c r="U23" s="160">
        <v>0</v>
      </c>
      <c r="V23" s="145"/>
      <c r="W23" s="161">
        <v>79036.363636363632</v>
      </c>
      <c r="X23" s="151"/>
    </row>
    <row r="24" spans="1:24" ht="26.1" customHeight="1" x14ac:dyDescent="0.25">
      <c r="A24" s="205" t="s">
        <v>355</v>
      </c>
      <c r="B24" s="47" t="s">
        <v>5</v>
      </c>
      <c r="C24" s="48" t="s">
        <v>402</v>
      </c>
      <c r="D24" s="48" t="s">
        <v>373</v>
      </c>
      <c r="E24" s="261" t="s">
        <v>380</v>
      </c>
      <c r="F24" s="212">
        <f>+'x Políticas'!I24*'x Políticas'!$S24</f>
        <v>458.18181818181819</v>
      </c>
      <c r="G24" s="170">
        <f>+'x Políticas'!J24*'x Políticas'!$S24</f>
        <v>2290.909090909091</v>
      </c>
      <c r="H24" s="170">
        <f>+'x Políticas'!K24*'x Políticas'!$S24</f>
        <v>2290.909090909091</v>
      </c>
      <c r="I24" s="170">
        <f>+'x Políticas'!L24*'x Políticas'!$S24</f>
        <v>2290.909090909091</v>
      </c>
      <c r="J24" s="170">
        <f>+'x Políticas'!M24*'x Políticas'!$S24</f>
        <v>2290.909090909091</v>
      </c>
      <c r="K24" s="170">
        <f>+'x Políticas'!N24*'x Políticas'!$S24</f>
        <v>2290.909090909091</v>
      </c>
      <c r="L24" s="170">
        <f>+'x Políticas'!O24*'x Políticas'!$S24</f>
        <v>2290.909090909091</v>
      </c>
      <c r="M24" s="170">
        <f>+'x Políticas'!P24*'x Políticas'!$S24</f>
        <v>2290.909090909091</v>
      </c>
      <c r="N24" s="170">
        <f>+'x Políticas'!Q24*'x Políticas'!$S24</f>
        <v>2290.909090909091</v>
      </c>
      <c r="O24" s="213">
        <f>+'x Políticas'!R24*'x Políticas'!$S24</f>
        <v>18785.454545454544</v>
      </c>
      <c r="P24" s="262">
        <v>1</v>
      </c>
      <c r="Q24" s="170"/>
      <c r="R24" s="170"/>
      <c r="S24" s="213"/>
      <c r="T24" s="70"/>
      <c r="U24" s="71"/>
      <c r="V24" s="71"/>
      <c r="W24" s="221">
        <v>79036.363636363632</v>
      </c>
      <c r="X24" s="222"/>
    </row>
    <row r="25" spans="1:24" ht="26.1" customHeight="1" x14ac:dyDescent="0.25">
      <c r="A25" s="99"/>
      <c r="B25" s="55"/>
      <c r="C25" s="126"/>
      <c r="D25" s="56"/>
      <c r="E25" s="98" t="s">
        <v>22</v>
      </c>
      <c r="F25" s="136">
        <f>+F26+F30+F32</f>
        <v>9892021.1659999993</v>
      </c>
      <c r="G25" s="133">
        <f>+G26+G30+G32</f>
        <v>8355963.7879363634</v>
      </c>
      <c r="H25" s="133">
        <f t="shared" ref="H25:N25" si="6">+H26+H30+H32</f>
        <v>8075884.5664240913</v>
      </c>
      <c r="I25" s="133">
        <f t="shared" si="6"/>
        <v>8428601.4456543867</v>
      </c>
      <c r="J25" s="133">
        <f t="shared" si="6"/>
        <v>8754705.1397552881</v>
      </c>
      <c r="K25" s="133">
        <f t="shared" si="6"/>
        <v>9051906.8076521419</v>
      </c>
      <c r="L25" s="133">
        <f t="shared" si="6"/>
        <v>9619666.8934892956</v>
      </c>
      <c r="M25" s="133">
        <f t="shared" si="6"/>
        <v>9857560.4090728518</v>
      </c>
      <c r="N25" s="133">
        <f t="shared" si="6"/>
        <v>10473878.662253765</v>
      </c>
      <c r="O25" s="137">
        <f>SUM(F25:N25)</f>
        <v>82510188.878238186</v>
      </c>
      <c r="P25" s="136">
        <v>82510188.878238186</v>
      </c>
      <c r="Q25" s="133"/>
      <c r="R25" s="133">
        <v>1766854.1242784548</v>
      </c>
      <c r="S25" s="139"/>
      <c r="T25" s="138"/>
      <c r="U25" s="140">
        <v>419000</v>
      </c>
      <c r="V25" s="126"/>
      <c r="W25" s="141">
        <v>25534169.577742252</v>
      </c>
      <c r="X25" s="132"/>
    </row>
    <row r="26" spans="1:24" ht="26.1" customHeight="1" x14ac:dyDescent="0.25">
      <c r="A26" s="154" t="s">
        <v>355</v>
      </c>
      <c r="B26" s="59" t="s">
        <v>4</v>
      </c>
      <c r="C26" s="145"/>
      <c r="D26" s="60"/>
      <c r="E26" s="143" t="s">
        <v>23</v>
      </c>
      <c r="F26" s="157">
        <f>SUM(F27:F29)</f>
        <v>102843.63636363637</v>
      </c>
      <c r="G26" s="152">
        <f>SUM(G27:G29)</f>
        <v>113191.63636363635</v>
      </c>
      <c r="H26" s="152">
        <f t="shared" ref="H26:N26" si="7">SUM(H27:H29)</f>
        <v>123937.09090909091</v>
      </c>
      <c r="I26" s="152">
        <f t="shared" si="7"/>
        <v>184937.09090909091</v>
      </c>
      <c r="J26" s="152">
        <f t="shared" si="7"/>
        <v>127246.18181818182</v>
      </c>
      <c r="K26" s="152">
        <f t="shared" si="7"/>
        <v>141962.54545454544</v>
      </c>
      <c r="L26" s="152">
        <f t="shared" si="7"/>
        <v>218991.63636363635</v>
      </c>
      <c r="M26" s="152">
        <f t="shared" si="7"/>
        <v>161137.09090909091</v>
      </c>
      <c r="N26" s="152">
        <f t="shared" si="7"/>
        <v>249337.09090909091</v>
      </c>
      <c r="O26" s="156">
        <f>SUM(F26:N26)</f>
        <v>1423584</v>
      </c>
      <c r="P26" s="157">
        <v>1423584</v>
      </c>
      <c r="Q26" s="145"/>
      <c r="R26" s="161">
        <v>0</v>
      </c>
      <c r="S26" s="159"/>
      <c r="T26" s="158"/>
      <c r="U26" s="160">
        <v>229000</v>
      </c>
      <c r="V26" s="145"/>
      <c r="W26" s="152">
        <v>683482.03636363638</v>
      </c>
      <c r="X26" s="151"/>
    </row>
    <row r="27" spans="1:24" ht="26.1" customHeight="1" x14ac:dyDescent="0.25">
      <c r="A27" s="265" t="s">
        <v>355</v>
      </c>
      <c r="B27" s="74" t="s">
        <v>4</v>
      </c>
      <c r="C27" s="75" t="s">
        <v>409</v>
      </c>
      <c r="D27" s="75" t="s">
        <v>25</v>
      </c>
      <c r="E27" s="237" t="s">
        <v>390</v>
      </c>
      <c r="F27" s="212">
        <f>+'x Políticas'!I27*'x Políticas'!$S27</f>
        <v>36363.63636363636</v>
      </c>
      <c r="G27" s="170">
        <f>+'x Políticas'!J27*'x Políticas'!$S27</f>
        <v>45454.545454545456</v>
      </c>
      <c r="H27" s="170">
        <f>+'x Políticas'!K27*'x Políticas'!$S27</f>
        <v>54545.454545454544</v>
      </c>
      <c r="I27" s="170">
        <f>+'x Políticas'!L27*'x Políticas'!$S27</f>
        <v>54545.454545454544</v>
      </c>
      <c r="J27" s="170">
        <f>+'x Políticas'!M27*'x Políticas'!$S27</f>
        <v>54545.454545454544</v>
      </c>
      <c r="K27" s="170">
        <f>+'x Políticas'!N27*'x Políticas'!$S27</f>
        <v>63636.36363636364</v>
      </c>
      <c r="L27" s="170">
        <f>+'x Políticas'!O27*'x Políticas'!$S27</f>
        <v>63636.36363636364</v>
      </c>
      <c r="M27" s="170">
        <f>+'x Políticas'!P27*'x Políticas'!$S27</f>
        <v>81818.181818181823</v>
      </c>
      <c r="N27" s="170">
        <f>+'x Políticas'!Q27*'x Políticas'!$S27</f>
        <v>81818.181818181823</v>
      </c>
      <c r="O27" s="213">
        <f>+'x Políticas'!R27*'x Políticas'!$S27</f>
        <v>536363.63636363635</v>
      </c>
      <c r="P27" s="270">
        <v>1</v>
      </c>
      <c r="Q27" s="48" t="s">
        <v>324</v>
      </c>
      <c r="R27" s="48"/>
      <c r="S27" s="243"/>
      <c r="T27" s="70"/>
      <c r="U27" s="71"/>
      <c r="V27" s="71"/>
      <c r="W27" s="221">
        <v>536363.63636363635</v>
      </c>
      <c r="X27" s="222"/>
    </row>
    <row r="28" spans="1:24" ht="26.1" customHeight="1" x14ac:dyDescent="0.25">
      <c r="A28" s="185"/>
      <c r="B28" s="80"/>
      <c r="C28" s="81"/>
      <c r="D28" s="81"/>
      <c r="E28" s="237" t="s">
        <v>391</v>
      </c>
      <c r="F28" s="212">
        <f>+'x Políticas'!I28*'x Políticas'!$S28</f>
        <v>54574.545454545456</v>
      </c>
      <c r="G28" s="170">
        <f>+'x Políticas'!J28*'x Políticas'!$S28</f>
        <v>55236.36363636364</v>
      </c>
      <c r="H28" s="170">
        <f>+'x Políticas'!K28*'x Políticas'!$S28</f>
        <v>56890.909090909088</v>
      </c>
      <c r="I28" s="170">
        <f>+'x Políticas'!L28*'x Políticas'!$S28</f>
        <v>117890.90909090909</v>
      </c>
      <c r="J28" s="170">
        <f>+'x Políticas'!M28*'x Políticas'!$S28</f>
        <v>60200</v>
      </c>
      <c r="K28" s="170">
        <f>+'x Políticas'!N28*'x Políticas'!$S28</f>
        <v>65825.454545454544</v>
      </c>
      <c r="L28" s="170">
        <f>+'x Políticas'!O28*'x Políticas'!$S28</f>
        <v>142854.54545454544</v>
      </c>
      <c r="M28" s="170">
        <f>+'x Políticas'!P28*'x Políticas'!$S28</f>
        <v>66818.181818181823</v>
      </c>
      <c r="N28" s="170">
        <f>+'x Políticas'!Q28*'x Políticas'!$S28</f>
        <v>155018.18181818182</v>
      </c>
      <c r="O28" s="213">
        <f>+'x Políticas'!R28*'x Políticas'!$S28</f>
        <v>775309.09090909094</v>
      </c>
      <c r="P28" s="242">
        <v>1</v>
      </c>
      <c r="Q28" s="48"/>
      <c r="R28" s="48"/>
      <c r="S28" s="243"/>
      <c r="T28" s="70"/>
      <c r="U28" s="220">
        <v>229000</v>
      </c>
      <c r="V28" s="220" t="s">
        <v>360</v>
      </c>
      <c r="W28" s="221">
        <v>135927.27272727274</v>
      </c>
      <c r="X28" s="222"/>
    </row>
    <row r="29" spans="1:24" ht="26.1" customHeight="1" x14ac:dyDescent="0.25">
      <c r="A29" s="205" t="s">
        <v>355</v>
      </c>
      <c r="B29" s="47" t="s">
        <v>4</v>
      </c>
      <c r="C29" s="48" t="s">
        <v>407</v>
      </c>
      <c r="D29" s="48" t="s">
        <v>395</v>
      </c>
      <c r="E29" s="204" t="s">
        <v>361</v>
      </c>
      <c r="F29" s="212">
        <f>+'x Políticas'!I29*'x Políticas'!$S29</f>
        <v>11905.454545454546</v>
      </c>
      <c r="G29" s="170">
        <f>+'x Políticas'!J29*'x Políticas'!$S29</f>
        <v>12500.727272727272</v>
      </c>
      <c r="H29" s="170">
        <f>+'x Políticas'!K29*'x Políticas'!$S29</f>
        <v>12500.727272727272</v>
      </c>
      <c r="I29" s="170">
        <f>+'x Políticas'!L29*'x Políticas'!$S29</f>
        <v>12500.727272727272</v>
      </c>
      <c r="J29" s="170">
        <f>+'x Políticas'!M29*'x Políticas'!$S29</f>
        <v>12500.727272727272</v>
      </c>
      <c r="K29" s="170">
        <f>+'x Políticas'!N29*'x Políticas'!$S29</f>
        <v>12500.727272727272</v>
      </c>
      <c r="L29" s="170">
        <f>+'x Políticas'!O29*'x Políticas'!$S29</f>
        <v>12500.727272727272</v>
      </c>
      <c r="M29" s="170">
        <f>+'x Políticas'!P29*'x Políticas'!$S29</f>
        <v>12500.727272727272</v>
      </c>
      <c r="N29" s="170">
        <f>+'x Políticas'!Q29*'x Políticas'!$S29</f>
        <v>12500.727272727272</v>
      </c>
      <c r="O29" s="213">
        <f>+'x Políticas'!R29*'x Políticas'!$S29</f>
        <v>111911.27272727272</v>
      </c>
      <c r="P29" s="274">
        <v>1</v>
      </c>
      <c r="Q29" s="170">
        <v>0.1</v>
      </c>
      <c r="R29" s="170">
        <v>0</v>
      </c>
      <c r="S29" s="213"/>
      <c r="T29" s="219"/>
      <c r="U29" s="220"/>
      <c r="V29" s="220"/>
      <c r="W29" s="221">
        <v>11191.127272727274</v>
      </c>
      <c r="X29" s="222"/>
    </row>
    <row r="30" spans="1:24" ht="26.1" customHeight="1" x14ac:dyDescent="0.25">
      <c r="A30" s="144" t="s">
        <v>357</v>
      </c>
      <c r="B30" s="59" t="s">
        <v>4</v>
      </c>
      <c r="C30" s="145"/>
      <c r="D30" s="60"/>
      <c r="E30" s="143" t="s">
        <v>27</v>
      </c>
      <c r="F30" s="157">
        <f>SUM(F31)</f>
        <v>3158000</v>
      </c>
      <c r="G30" s="152">
        <f>SUM(G31)</f>
        <v>1396181.8181818181</v>
      </c>
      <c r="H30" s="152">
        <f t="shared" ref="H30:N30" si="8">SUM(H31)</f>
        <v>853454.54545454541</v>
      </c>
      <c r="I30" s="152">
        <f t="shared" si="8"/>
        <v>880727.27272727271</v>
      </c>
      <c r="J30" s="152">
        <f t="shared" si="8"/>
        <v>986909.09090909094</v>
      </c>
      <c r="K30" s="152">
        <f t="shared" si="8"/>
        <v>947272.72727272729</v>
      </c>
      <c r="L30" s="152">
        <f t="shared" si="8"/>
        <v>1162727.2727272727</v>
      </c>
      <c r="M30" s="152">
        <f t="shared" si="8"/>
        <v>1137272.7272727273</v>
      </c>
      <c r="N30" s="152">
        <f t="shared" si="8"/>
        <v>1328181.8181818181</v>
      </c>
      <c r="O30" s="156">
        <f>SUM(F30:N30)</f>
        <v>11850727.272727272</v>
      </c>
      <c r="P30" s="157">
        <v>11850727.272727272</v>
      </c>
      <c r="Q30" s="152"/>
      <c r="R30" s="152">
        <v>0</v>
      </c>
      <c r="S30" s="159"/>
      <c r="T30" s="158"/>
      <c r="U30" s="160">
        <v>100000</v>
      </c>
      <c r="V30" s="145"/>
      <c r="W30" s="161">
        <v>3890000</v>
      </c>
      <c r="X30" s="151"/>
    </row>
    <row r="31" spans="1:24" ht="26.1" customHeight="1" x14ac:dyDescent="0.25">
      <c r="A31" s="275" t="s">
        <v>357</v>
      </c>
      <c r="B31" s="47" t="s">
        <v>4</v>
      </c>
      <c r="C31" s="48" t="s">
        <v>409</v>
      </c>
      <c r="D31" s="48" t="s">
        <v>25</v>
      </c>
      <c r="E31" s="237" t="s">
        <v>28</v>
      </c>
      <c r="F31" s="212">
        <f>+'x Políticas'!I31*'x Políticas'!$S31</f>
        <v>3158000</v>
      </c>
      <c r="G31" s="170">
        <f>+'x Políticas'!J31*'x Políticas'!$S31</f>
        <v>1396181.8181818181</v>
      </c>
      <c r="H31" s="170">
        <f>+'x Políticas'!K31*'x Políticas'!$S31</f>
        <v>853454.54545454541</v>
      </c>
      <c r="I31" s="170">
        <f>+'x Políticas'!L31*'x Políticas'!$S31</f>
        <v>880727.27272727271</v>
      </c>
      <c r="J31" s="170">
        <f>+'x Políticas'!M31*'x Políticas'!$S31</f>
        <v>986909.09090909094</v>
      </c>
      <c r="K31" s="170">
        <f>+'x Políticas'!N31*'x Políticas'!$S31</f>
        <v>947272.72727272729</v>
      </c>
      <c r="L31" s="170">
        <f>+'x Políticas'!O31*'x Políticas'!$S31</f>
        <v>1162727.2727272727</v>
      </c>
      <c r="M31" s="170">
        <f>+'x Políticas'!P31*'x Políticas'!$S31</f>
        <v>1137272.7272727273</v>
      </c>
      <c r="N31" s="170">
        <f>+'x Políticas'!Q31*'x Políticas'!$S31</f>
        <v>1328181.8181818181</v>
      </c>
      <c r="O31" s="213">
        <f>+'x Políticas'!R31*'x Políticas'!$S31</f>
        <v>11850727.272727272</v>
      </c>
      <c r="P31" s="242">
        <v>1</v>
      </c>
      <c r="Q31" s="48"/>
      <c r="R31" s="48"/>
      <c r="S31" s="243"/>
      <c r="T31" s="70"/>
      <c r="U31" s="220">
        <v>100000</v>
      </c>
      <c r="V31" s="71" t="s">
        <v>326</v>
      </c>
      <c r="W31" s="221">
        <v>3890000</v>
      </c>
      <c r="X31" s="222"/>
    </row>
    <row r="32" spans="1:24" ht="26.1" customHeight="1" x14ac:dyDescent="0.25">
      <c r="A32" s="144" t="s">
        <v>357</v>
      </c>
      <c r="B32" s="59" t="s">
        <v>4</v>
      </c>
      <c r="C32" s="145"/>
      <c r="D32" s="60"/>
      <c r="E32" s="143" t="s">
        <v>29</v>
      </c>
      <c r="F32" s="157">
        <f>SUM(F33:F35)</f>
        <v>6631177.5296363635</v>
      </c>
      <c r="G32" s="152">
        <f>SUM(G33:G35)</f>
        <v>6846590.3333909092</v>
      </c>
      <c r="H32" s="152">
        <f t="shared" ref="H32:N32" si="9">SUM(H33:H35)</f>
        <v>7098492.9300604546</v>
      </c>
      <c r="I32" s="152">
        <f t="shared" si="9"/>
        <v>7362937.0820180224</v>
      </c>
      <c r="J32" s="152">
        <f t="shared" si="9"/>
        <v>7640549.8670280147</v>
      </c>
      <c r="K32" s="152">
        <f t="shared" si="9"/>
        <v>7962671.5349248694</v>
      </c>
      <c r="L32" s="152">
        <f t="shared" si="9"/>
        <v>8237947.9843983864</v>
      </c>
      <c r="M32" s="152">
        <f t="shared" si="9"/>
        <v>8559150.5908910334</v>
      </c>
      <c r="N32" s="152">
        <f t="shared" si="9"/>
        <v>8896359.7531628571</v>
      </c>
      <c r="O32" s="156">
        <f>SUM(F32:N32)</f>
        <v>69235877.60551092</v>
      </c>
      <c r="P32" s="157">
        <v>69235877.60551092</v>
      </c>
      <c r="Q32" s="145"/>
      <c r="R32" s="161">
        <v>1766854.1242784548</v>
      </c>
      <c r="S32" s="159"/>
      <c r="T32" s="158"/>
      <c r="U32" s="160">
        <v>90000</v>
      </c>
      <c r="V32" s="145"/>
      <c r="W32" s="152">
        <v>20960687.541378617</v>
      </c>
      <c r="X32" s="151"/>
    </row>
    <row r="33" spans="1:24" ht="42" customHeight="1" x14ac:dyDescent="0.25">
      <c r="A33" s="205" t="s">
        <v>357</v>
      </c>
      <c r="B33" s="47" t="s">
        <v>4</v>
      </c>
      <c r="C33" s="48" t="s">
        <v>407</v>
      </c>
      <c r="D33" s="48" t="s">
        <v>395</v>
      </c>
      <c r="E33" s="204" t="s">
        <v>365</v>
      </c>
      <c r="F33" s="212">
        <f>+'x Políticas'!I33*'x Políticas'!$S33</f>
        <v>4812995.7114545451</v>
      </c>
      <c r="G33" s="170">
        <f>+'x Políticas'!J33*'x Políticas'!$S33</f>
        <v>5028408.5152090909</v>
      </c>
      <c r="H33" s="170">
        <f>+'x Políticas'!K33*'x Políticas'!$S33</f>
        <v>5280311.1118786363</v>
      </c>
      <c r="I33" s="170">
        <f>+'x Políticas'!L33*'x Políticas'!$S33</f>
        <v>5544755.2638362041</v>
      </c>
      <c r="J33" s="170">
        <f>+'x Políticas'!M33*'x Políticas'!$S33</f>
        <v>5822368.0488461964</v>
      </c>
      <c r="K33" s="170">
        <f>+'x Políticas'!N33*'x Políticas'!$S33</f>
        <v>6144489.7167430511</v>
      </c>
      <c r="L33" s="170">
        <f>+'x Políticas'!O33*'x Políticas'!$S33</f>
        <v>6419766.1662165681</v>
      </c>
      <c r="M33" s="170">
        <f>+'x Políticas'!P33*'x Políticas'!$S33</f>
        <v>6740968.7727092151</v>
      </c>
      <c r="N33" s="170">
        <f>+'x Políticas'!Q33*'x Políticas'!$S33</f>
        <v>7078177.9349810397</v>
      </c>
      <c r="O33" s="213">
        <f>+'x Políticas'!R33*'x Políticas'!$S33</f>
        <v>52872241.241874553</v>
      </c>
      <c r="P33" s="276">
        <v>0.9</v>
      </c>
      <c r="Q33" s="170"/>
      <c r="R33" s="277">
        <v>0.1</v>
      </c>
      <c r="S33" s="213"/>
      <c r="T33" s="219"/>
      <c r="U33" s="220">
        <v>15000</v>
      </c>
      <c r="V33" s="220" t="s">
        <v>363</v>
      </c>
      <c r="W33" s="221">
        <v>20859002.128950771</v>
      </c>
      <c r="X33" s="222"/>
    </row>
    <row r="34" spans="1:24" ht="25.5" customHeight="1" x14ac:dyDescent="0.25">
      <c r="A34" s="164" t="s">
        <v>357</v>
      </c>
      <c r="B34" s="74" t="s">
        <v>4</v>
      </c>
      <c r="C34" s="48" t="s">
        <v>407</v>
      </c>
      <c r="D34" s="75" t="s">
        <v>395</v>
      </c>
      <c r="E34" s="204" t="s">
        <v>366</v>
      </c>
      <c r="F34" s="212">
        <f>+'x Políticas'!I34*'x Políticas'!$S34</f>
        <v>0</v>
      </c>
      <c r="G34" s="170">
        <f>+'x Políticas'!J34*'x Políticas'!$S34</f>
        <v>0</v>
      </c>
      <c r="H34" s="170">
        <f>+'x Políticas'!K34*'x Políticas'!$S34</f>
        <v>0</v>
      </c>
      <c r="I34" s="170">
        <f>+'x Políticas'!L34*'x Políticas'!$S34</f>
        <v>0</v>
      </c>
      <c r="J34" s="170">
        <f>+'x Políticas'!M34*'x Políticas'!$S34</f>
        <v>0</v>
      </c>
      <c r="K34" s="170">
        <f>+'x Políticas'!N34*'x Políticas'!$S34</f>
        <v>0</v>
      </c>
      <c r="L34" s="170">
        <f>+'x Políticas'!O34*'x Políticas'!$S34</f>
        <v>0</v>
      </c>
      <c r="M34" s="170">
        <f>+'x Políticas'!P34*'x Políticas'!$S34</f>
        <v>0</v>
      </c>
      <c r="N34" s="170">
        <f>+'x Políticas'!Q34*'x Políticas'!$S34</f>
        <v>0</v>
      </c>
      <c r="O34" s="213">
        <f>+'x Políticas'!R34*'x Políticas'!$S34</f>
        <v>0</v>
      </c>
      <c r="P34" s="212">
        <v>0</v>
      </c>
      <c r="Q34" s="170"/>
      <c r="R34" s="277">
        <v>1</v>
      </c>
      <c r="S34" s="213"/>
      <c r="T34" s="219"/>
      <c r="U34" s="220">
        <v>75000</v>
      </c>
      <c r="V34" s="220" t="s">
        <v>364</v>
      </c>
      <c r="W34" s="221">
        <v>101685.41242784551</v>
      </c>
      <c r="X34" s="222"/>
    </row>
    <row r="35" spans="1:24" ht="25.5" customHeight="1" x14ac:dyDescent="0.25">
      <c r="A35" s="280" t="s">
        <v>355</v>
      </c>
      <c r="B35" s="47" t="s">
        <v>4</v>
      </c>
      <c r="C35" s="48" t="s">
        <v>406</v>
      </c>
      <c r="D35" s="48" t="s">
        <v>63</v>
      </c>
      <c r="E35" s="279" t="s">
        <v>392</v>
      </c>
      <c r="F35" s="212">
        <f>+'x Políticas'!I35*'x Políticas'!$S35</f>
        <v>1818181.8181818181</v>
      </c>
      <c r="G35" s="170">
        <f>+'x Políticas'!J35*'x Políticas'!$S35</f>
        <v>1818181.8181818181</v>
      </c>
      <c r="H35" s="170">
        <f>+'x Políticas'!K35*'x Políticas'!$S35</f>
        <v>1818181.8181818181</v>
      </c>
      <c r="I35" s="170">
        <f>+'x Políticas'!L35*'x Políticas'!$S35</f>
        <v>1818181.8181818181</v>
      </c>
      <c r="J35" s="170">
        <f>+'x Políticas'!M35*'x Políticas'!$S35</f>
        <v>1818181.8181818181</v>
      </c>
      <c r="K35" s="170">
        <f>+'x Políticas'!N35*'x Políticas'!$S35</f>
        <v>1818181.8181818181</v>
      </c>
      <c r="L35" s="170">
        <f>+'x Políticas'!O35*'x Políticas'!$S35</f>
        <v>1818181.8181818181</v>
      </c>
      <c r="M35" s="170">
        <f>+'x Políticas'!P35*'x Políticas'!$S35</f>
        <v>1818181.8181818181</v>
      </c>
      <c r="N35" s="170">
        <f>+'x Políticas'!Q35*'x Políticas'!$S35</f>
        <v>1818181.8181818181</v>
      </c>
      <c r="O35" s="213">
        <f>+'x Políticas'!R35*'x Políticas'!$S35</f>
        <v>16363636.363636363</v>
      </c>
      <c r="P35" s="285">
        <v>1</v>
      </c>
      <c r="Q35" s="48"/>
      <c r="R35" s="48"/>
      <c r="S35" s="216"/>
      <c r="T35" s="70"/>
      <c r="U35" s="71"/>
      <c r="V35" s="71"/>
      <c r="W35" s="221">
        <v>0</v>
      </c>
      <c r="X35" s="222"/>
    </row>
    <row r="36" spans="1:24" ht="26.1" customHeight="1" x14ac:dyDescent="0.25">
      <c r="A36" s="99"/>
      <c r="B36" s="55"/>
      <c r="C36" s="126"/>
      <c r="D36" s="56"/>
      <c r="E36" s="98" t="s">
        <v>32</v>
      </c>
      <c r="F36" s="136">
        <f t="shared" ref="F36:N36" si="10">+F37+F41+F52</f>
        <v>31691183.784064904</v>
      </c>
      <c r="G36" s="133">
        <f t="shared" si="10"/>
        <v>42499318.206462279</v>
      </c>
      <c r="H36" s="133">
        <f t="shared" si="10"/>
        <v>34621517.764056578</v>
      </c>
      <c r="I36" s="133">
        <f t="shared" si="10"/>
        <v>36946836.356692515</v>
      </c>
      <c r="J36" s="133">
        <f t="shared" si="10"/>
        <v>36864694.068733685</v>
      </c>
      <c r="K36" s="133">
        <f t="shared" si="10"/>
        <v>37149004.354286805</v>
      </c>
      <c r="L36" s="133">
        <f t="shared" si="10"/>
        <v>39050568.255030952</v>
      </c>
      <c r="M36" s="133">
        <f t="shared" si="10"/>
        <v>40984362.052397884</v>
      </c>
      <c r="N36" s="133">
        <f t="shared" si="10"/>
        <v>43014845.53963317</v>
      </c>
      <c r="O36" s="137">
        <f>SUM(F36:N36)</f>
        <v>342822330.38135874</v>
      </c>
      <c r="P36" s="136">
        <v>342822330.38135868</v>
      </c>
      <c r="Q36" s="133"/>
      <c r="R36" s="133">
        <v>22245572.196637835</v>
      </c>
      <c r="S36" s="139"/>
      <c r="T36" s="138"/>
      <c r="U36" s="140">
        <v>553300</v>
      </c>
      <c r="V36" s="126"/>
      <c r="W36" s="141">
        <v>227035973.68452331</v>
      </c>
      <c r="X36" s="132"/>
    </row>
    <row r="37" spans="1:24" ht="26.1" customHeight="1" x14ac:dyDescent="0.25">
      <c r="A37" s="287" t="s">
        <v>355</v>
      </c>
      <c r="B37" s="63" t="s">
        <v>3</v>
      </c>
      <c r="C37" s="288"/>
      <c r="D37" s="64"/>
      <c r="E37" s="286" t="s">
        <v>33</v>
      </c>
      <c r="F37" s="298">
        <f t="shared" ref="F37:N37" si="11">+F39+F38</f>
        <v>31444386.5812677</v>
      </c>
      <c r="G37" s="294">
        <f t="shared" si="11"/>
        <v>42124898.626042694</v>
      </c>
      <c r="H37" s="294">
        <f t="shared" si="11"/>
        <v>34246825.456364267</v>
      </c>
      <c r="I37" s="294">
        <f t="shared" si="11"/>
        <v>36572144.049000204</v>
      </c>
      <c r="J37" s="294">
        <f t="shared" si="11"/>
        <v>36490001.761041373</v>
      </c>
      <c r="K37" s="294">
        <f t="shared" si="11"/>
        <v>36774312.046594493</v>
      </c>
      <c r="L37" s="294">
        <f t="shared" si="11"/>
        <v>38675875.947338641</v>
      </c>
      <c r="M37" s="294">
        <f t="shared" si="11"/>
        <v>40609669.744705573</v>
      </c>
      <c r="N37" s="294">
        <f t="shared" si="11"/>
        <v>42640153.231940858</v>
      </c>
      <c r="O37" s="299">
        <f>SUM(F37:N37)</f>
        <v>339578267.44429582</v>
      </c>
      <c r="P37" s="298">
        <v>339578267.44429576</v>
      </c>
      <c r="Q37" s="294"/>
      <c r="R37" s="294">
        <v>21675208.560274199</v>
      </c>
      <c r="S37" s="301"/>
      <c r="T37" s="300"/>
      <c r="U37" s="302">
        <v>454300</v>
      </c>
      <c r="V37" s="288"/>
      <c r="W37" s="303">
        <v>222544484.17403382</v>
      </c>
      <c r="X37" s="293"/>
    </row>
    <row r="38" spans="1:24" ht="26.1" customHeight="1" x14ac:dyDescent="0.25">
      <c r="A38" s="144" t="s">
        <v>355</v>
      </c>
      <c r="B38" s="59" t="s">
        <v>3</v>
      </c>
      <c r="C38" s="145"/>
      <c r="D38" s="60"/>
      <c r="E38" s="143" t="s">
        <v>36</v>
      </c>
      <c r="F38" s="157"/>
      <c r="G38" s="152"/>
      <c r="H38" s="152"/>
      <c r="I38" s="152"/>
      <c r="J38" s="152"/>
      <c r="K38" s="152"/>
      <c r="L38" s="152"/>
      <c r="M38" s="152"/>
      <c r="N38" s="152"/>
      <c r="O38" s="156"/>
      <c r="P38" s="158"/>
      <c r="Q38" s="145"/>
      <c r="R38" s="145"/>
      <c r="S38" s="159"/>
      <c r="T38" s="158"/>
      <c r="U38" s="160"/>
      <c r="V38" s="145"/>
      <c r="W38" s="161">
        <v>0</v>
      </c>
      <c r="X38" s="151"/>
    </row>
    <row r="39" spans="1:24" ht="26.1" customHeight="1" x14ac:dyDescent="0.25">
      <c r="A39" s="144" t="s">
        <v>355</v>
      </c>
      <c r="B39" s="59" t="s">
        <v>3</v>
      </c>
      <c r="C39" s="145"/>
      <c r="D39" s="60"/>
      <c r="E39" s="143" t="s">
        <v>34</v>
      </c>
      <c r="F39" s="157">
        <f>SUM(F40)</f>
        <v>31444386.5812677</v>
      </c>
      <c r="G39" s="152">
        <f>SUM(G40)</f>
        <v>42124898.626042694</v>
      </c>
      <c r="H39" s="152">
        <f t="shared" ref="H39:N39" si="12">SUM(H40)</f>
        <v>34246825.456364267</v>
      </c>
      <c r="I39" s="152">
        <f t="shared" si="12"/>
        <v>36572144.049000204</v>
      </c>
      <c r="J39" s="152">
        <f t="shared" si="12"/>
        <v>36490001.761041373</v>
      </c>
      <c r="K39" s="152">
        <f t="shared" si="12"/>
        <v>36774312.046594493</v>
      </c>
      <c r="L39" s="152">
        <f t="shared" si="12"/>
        <v>38675875.947338641</v>
      </c>
      <c r="M39" s="152">
        <f t="shared" si="12"/>
        <v>40609669.744705573</v>
      </c>
      <c r="N39" s="152">
        <f t="shared" si="12"/>
        <v>42640153.231940858</v>
      </c>
      <c r="O39" s="156">
        <f>SUM(F39:N39)</f>
        <v>339578267.44429582</v>
      </c>
      <c r="P39" s="157">
        <v>339578267.44429576</v>
      </c>
      <c r="Q39" s="152"/>
      <c r="R39" s="152">
        <v>21675208.560274199</v>
      </c>
      <c r="S39" s="159"/>
      <c r="T39" s="158"/>
      <c r="U39" s="160">
        <v>454300</v>
      </c>
      <c r="V39" s="145"/>
      <c r="W39" s="161">
        <v>222544484.17403382</v>
      </c>
      <c r="X39" s="151"/>
    </row>
    <row r="40" spans="1:24" ht="26.1" customHeight="1" x14ac:dyDescent="0.25">
      <c r="A40" s="205" t="s">
        <v>355</v>
      </c>
      <c r="B40" s="47" t="s">
        <v>3</v>
      </c>
      <c r="C40" s="48" t="s">
        <v>410</v>
      </c>
      <c r="D40" s="48" t="s">
        <v>414</v>
      </c>
      <c r="E40" s="204" t="s">
        <v>35</v>
      </c>
      <c r="F40" s="212">
        <f>+'x Políticas'!I40*'x Políticas'!$S40</f>
        <v>31444386.5812677</v>
      </c>
      <c r="G40" s="170">
        <f>+'x Políticas'!J40*'x Políticas'!$S40</f>
        <v>42124898.626042694</v>
      </c>
      <c r="H40" s="170">
        <f>+'x Políticas'!K40*'x Políticas'!$S40</f>
        <v>34246825.456364267</v>
      </c>
      <c r="I40" s="170">
        <f>+'x Políticas'!L40*'x Políticas'!$S40</f>
        <v>36572144.049000204</v>
      </c>
      <c r="J40" s="170">
        <f>+'x Políticas'!M40*'x Políticas'!$S40</f>
        <v>36490001.761041373</v>
      </c>
      <c r="K40" s="170">
        <f>+'x Políticas'!N40*'x Políticas'!$S40</f>
        <v>36774312.046594493</v>
      </c>
      <c r="L40" s="170">
        <f>+'x Políticas'!O40*'x Políticas'!$S40</f>
        <v>38675875.947338641</v>
      </c>
      <c r="M40" s="170">
        <f>+'x Políticas'!P40*'x Políticas'!$S40</f>
        <v>40609669.744705573</v>
      </c>
      <c r="N40" s="170">
        <f>+'x Políticas'!Q40*'x Políticas'!$S40</f>
        <v>42640153.231940858</v>
      </c>
      <c r="O40" s="213">
        <f>+'x Políticas'!R40*'x Políticas'!$S40</f>
        <v>339578267.44429576</v>
      </c>
      <c r="P40" s="270">
        <v>0.94</v>
      </c>
      <c r="Q40" s="215"/>
      <c r="R40" s="215">
        <v>0.06</v>
      </c>
      <c r="S40" s="243" t="s">
        <v>495</v>
      </c>
      <c r="T40" s="70"/>
      <c r="U40" s="220">
        <v>454300</v>
      </c>
      <c r="V40" s="71" t="s">
        <v>335</v>
      </c>
      <c r="W40" s="221">
        <v>222544484.17403382</v>
      </c>
      <c r="X40" s="222"/>
    </row>
    <row r="41" spans="1:24" ht="26.1" customHeight="1" x14ac:dyDescent="0.25">
      <c r="A41" s="287"/>
      <c r="B41" s="63" t="s">
        <v>4</v>
      </c>
      <c r="C41" s="288"/>
      <c r="D41" s="64"/>
      <c r="E41" s="286" t="s">
        <v>38</v>
      </c>
      <c r="F41" s="298">
        <f>+F42+F46+F48+F50</f>
        <v>246797.2027972028</v>
      </c>
      <c r="G41" s="294">
        <f>+G42+G46+G48+G50</f>
        <v>374237.76223776222</v>
      </c>
      <c r="H41" s="294">
        <f t="shared" ref="H41:N41" si="13">+H42+H46+H48+H50</f>
        <v>374237.76223776222</v>
      </c>
      <c r="I41" s="294">
        <f t="shared" si="13"/>
        <v>374237.76223776222</v>
      </c>
      <c r="J41" s="294">
        <f t="shared" si="13"/>
        <v>374237.76223776222</v>
      </c>
      <c r="K41" s="294">
        <f t="shared" si="13"/>
        <v>374237.76223776222</v>
      </c>
      <c r="L41" s="294">
        <f t="shared" si="13"/>
        <v>374237.76223776222</v>
      </c>
      <c r="M41" s="294">
        <f t="shared" si="13"/>
        <v>374237.76223776222</v>
      </c>
      <c r="N41" s="294">
        <f t="shared" si="13"/>
        <v>374237.76223776222</v>
      </c>
      <c r="O41" s="299">
        <f>SUM(F41:N41)</f>
        <v>3240699.3006993001</v>
      </c>
      <c r="P41" s="298">
        <v>3240699.3006992997</v>
      </c>
      <c r="Q41" s="294"/>
      <c r="R41" s="294">
        <v>570363.63636363635</v>
      </c>
      <c r="S41" s="301"/>
      <c r="T41" s="300"/>
      <c r="U41" s="302">
        <v>99000</v>
      </c>
      <c r="V41" s="288"/>
      <c r="W41" s="303">
        <v>4365762.2377622379</v>
      </c>
      <c r="X41" s="293"/>
    </row>
    <row r="42" spans="1:24" ht="26.1" customHeight="1" x14ac:dyDescent="0.25">
      <c r="A42" s="144" t="s">
        <v>357</v>
      </c>
      <c r="B42" s="59" t="s">
        <v>4</v>
      </c>
      <c r="C42" s="145"/>
      <c r="D42" s="60"/>
      <c r="E42" s="143" t="s">
        <v>358</v>
      </c>
      <c r="F42" s="157">
        <f>SUM(F43:F45)</f>
        <v>214342.65734265733</v>
      </c>
      <c r="G42" s="152">
        <f>SUM(G43:G45)</f>
        <v>357237.76223776222</v>
      </c>
      <c r="H42" s="152">
        <f t="shared" ref="H42:N42" si="14">SUM(H43:H45)</f>
        <v>357237.76223776222</v>
      </c>
      <c r="I42" s="152">
        <f t="shared" si="14"/>
        <v>357237.76223776222</v>
      </c>
      <c r="J42" s="152">
        <f t="shared" si="14"/>
        <v>357237.76223776222</v>
      </c>
      <c r="K42" s="152">
        <f t="shared" si="14"/>
        <v>357237.76223776222</v>
      </c>
      <c r="L42" s="152">
        <f t="shared" si="14"/>
        <v>357237.76223776222</v>
      </c>
      <c r="M42" s="152">
        <f t="shared" si="14"/>
        <v>357237.76223776222</v>
      </c>
      <c r="N42" s="152">
        <f t="shared" si="14"/>
        <v>357237.76223776222</v>
      </c>
      <c r="O42" s="156">
        <f>SUM(F42:N42)</f>
        <v>3072244.7552447547</v>
      </c>
      <c r="P42" s="157">
        <v>3072244.7552447543</v>
      </c>
      <c r="Q42" s="145"/>
      <c r="R42" s="161">
        <v>532636.36363636365</v>
      </c>
      <c r="S42" s="159"/>
      <c r="T42" s="158"/>
      <c r="U42" s="160">
        <v>99000</v>
      </c>
      <c r="V42" s="145"/>
      <c r="W42" s="152">
        <v>4215398.6013986012</v>
      </c>
      <c r="X42" s="151"/>
    </row>
    <row r="43" spans="1:24" ht="26.1" customHeight="1" x14ac:dyDescent="0.25">
      <c r="A43" s="205" t="s">
        <v>357</v>
      </c>
      <c r="B43" s="47" t="s">
        <v>4</v>
      </c>
      <c r="C43" s="48" t="s">
        <v>405</v>
      </c>
      <c r="D43" s="48" t="s">
        <v>397</v>
      </c>
      <c r="E43" s="204" t="s">
        <v>367</v>
      </c>
      <c r="F43" s="307">
        <f>+'x Políticas'!I43*'x Políticas'!$S43</f>
        <v>0</v>
      </c>
      <c r="G43" s="252">
        <f>+'x Políticas'!J43*'x Políticas'!$S43</f>
        <v>0</v>
      </c>
      <c r="H43" s="252">
        <f>+'x Políticas'!K43*'x Políticas'!$S43</f>
        <v>0</v>
      </c>
      <c r="I43" s="252">
        <f>+'x Políticas'!L43*'x Políticas'!$S43</f>
        <v>0</v>
      </c>
      <c r="J43" s="252">
        <f>+'x Políticas'!M43*'x Políticas'!$S43</f>
        <v>0</v>
      </c>
      <c r="K43" s="252">
        <f>+'x Políticas'!N43*'x Políticas'!$S43</f>
        <v>0</v>
      </c>
      <c r="L43" s="252">
        <f>+'x Políticas'!O43*'x Políticas'!$S43</f>
        <v>0</v>
      </c>
      <c r="M43" s="252">
        <f>+'x Políticas'!P43*'x Políticas'!$S43</f>
        <v>0</v>
      </c>
      <c r="N43" s="252">
        <f>+'x Políticas'!Q43*'x Políticas'!$S43</f>
        <v>0</v>
      </c>
      <c r="O43" s="213">
        <f>+'x Políticas'!R43*'x Políticas'!$S43</f>
        <v>0</v>
      </c>
      <c r="P43" s="214"/>
      <c r="Q43" s="48"/>
      <c r="R43" s="308">
        <v>1</v>
      </c>
      <c r="S43" s="216" t="s">
        <v>496</v>
      </c>
      <c r="T43" s="70"/>
      <c r="U43" s="220">
        <v>99000</v>
      </c>
      <c r="V43" s="71" t="s">
        <v>369</v>
      </c>
      <c r="W43" s="221">
        <v>2601000</v>
      </c>
      <c r="X43" s="222"/>
    </row>
    <row r="44" spans="1:24" ht="26.1" customHeight="1" x14ac:dyDescent="0.25">
      <c r="A44" s="164" t="s">
        <v>357</v>
      </c>
      <c r="B44" s="74" t="s">
        <v>4</v>
      </c>
      <c r="C44" s="75" t="s">
        <v>405</v>
      </c>
      <c r="D44" s="75" t="s">
        <v>397</v>
      </c>
      <c r="E44" s="204" t="s">
        <v>472</v>
      </c>
      <c r="F44" s="212">
        <f>+'x Políticas'!I44*'x Políticas'!$S44</f>
        <v>0</v>
      </c>
      <c r="G44" s="170">
        <f>+'x Políticas'!J44*'x Políticas'!$S44</f>
        <v>0</v>
      </c>
      <c r="H44" s="170">
        <f>+'x Políticas'!K44*'x Políticas'!$S44</f>
        <v>0</v>
      </c>
      <c r="I44" s="170">
        <f>+'x Políticas'!L44*'x Políticas'!$S44</f>
        <v>0</v>
      </c>
      <c r="J44" s="170">
        <f>+'x Políticas'!M44*'x Políticas'!$S44</f>
        <v>0</v>
      </c>
      <c r="K44" s="170">
        <f>+'x Políticas'!N44*'x Políticas'!$S44</f>
        <v>0</v>
      </c>
      <c r="L44" s="170">
        <f>+'x Políticas'!O44*'x Políticas'!$S44</f>
        <v>0</v>
      </c>
      <c r="M44" s="170">
        <f>+'x Políticas'!P44*'x Políticas'!$S44</f>
        <v>0</v>
      </c>
      <c r="N44" s="170">
        <f>+'x Políticas'!Q44*'x Políticas'!$S44</f>
        <v>0</v>
      </c>
      <c r="O44" s="213">
        <f>+'x Políticas'!R44*'x Políticas'!$S44</f>
        <v>0</v>
      </c>
      <c r="P44" s="214"/>
      <c r="Q44" s="48"/>
      <c r="R44" s="215">
        <v>1</v>
      </c>
      <c r="S44" s="216"/>
      <c r="T44" s="70"/>
      <c r="U44" s="71"/>
      <c r="V44" s="71"/>
      <c r="W44" s="221">
        <v>24000</v>
      </c>
      <c r="X44" s="222"/>
    </row>
    <row r="45" spans="1:24" ht="26.1" customHeight="1" x14ac:dyDescent="0.25">
      <c r="A45" s="185"/>
      <c r="B45" s="80"/>
      <c r="C45" s="81"/>
      <c r="D45" s="81"/>
      <c r="E45" s="204" t="s">
        <v>473</v>
      </c>
      <c r="F45" s="212">
        <f>+'x Políticas'!I45*'x Políticas'!$S45</f>
        <v>214342.65734265733</v>
      </c>
      <c r="G45" s="217">
        <f>+'x Políticas'!J45*'x Políticas'!$S45</f>
        <v>357237.76223776222</v>
      </c>
      <c r="H45" s="217">
        <f>+'x Políticas'!K45*'x Políticas'!$S45</f>
        <v>357237.76223776222</v>
      </c>
      <c r="I45" s="217">
        <f>+'x Políticas'!L45*'x Políticas'!$S45</f>
        <v>357237.76223776222</v>
      </c>
      <c r="J45" s="217">
        <f>+'x Políticas'!M45*'x Políticas'!$S45</f>
        <v>357237.76223776222</v>
      </c>
      <c r="K45" s="217">
        <f>+'x Políticas'!N45*'x Políticas'!$S45</f>
        <v>357237.76223776222</v>
      </c>
      <c r="L45" s="217">
        <f>+'x Políticas'!O45*'x Políticas'!$S45</f>
        <v>357237.76223776222</v>
      </c>
      <c r="M45" s="217">
        <f>+'x Políticas'!P45*'x Políticas'!$S45</f>
        <v>357237.76223776222</v>
      </c>
      <c r="N45" s="217">
        <f>+'x Políticas'!Q45*'x Políticas'!$S45</f>
        <v>357237.76223776222</v>
      </c>
      <c r="O45" s="213">
        <f>+'x Políticas'!R45*'x Políticas'!$S45</f>
        <v>3072244.7552447543</v>
      </c>
      <c r="P45" s="253">
        <v>1</v>
      </c>
      <c r="Q45" s="48"/>
      <c r="R45" s="48"/>
      <c r="S45" s="216"/>
      <c r="T45" s="70"/>
      <c r="U45" s="71"/>
      <c r="V45" s="71"/>
      <c r="W45" s="221">
        <v>1590398.6013986014</v>
      </c>
      <c r="X45" s="222"/>
    </row>
    <row r="46" spans="1:24" ht="26.1" customHeight="1" x14ac:dyDescent="0.25">
      <c r="A46" s="144" t="s">
        <v>357</v>
      </c>
      <c r="B46" s="59" t="s">
        <v>44</v>
      </c>
      <c r="C46" s="145"/>
      <c r="D46" s="60"/>
      <c r="E46" s="143" t="s">
        <v>42</v>
      </c>
      <c r="F46" s="157">
        <f>SUM(F47)</f>
        <v>0</v>
      </c>
      <c r="G46" s="152">
        <f>SUM(G47)</f>
        <v>0</v>
      </c>
      <c r="H46" s="152">
        <f t="shared" ref="H46:N46" si="15">SUM(H47)</f>
        <v>0</v>
      </c>
      <c r="I46" s="152">
        <f t="shared" si="15"/>
        <v>0</v>
      </c>
      <c r="J46" s="152">
        <f t="shared" si="15"/>
        <v>0</v>
      </c>
      <c r="K46" s="152">
        <f t="shared" si="15"/>
        <v>0</v>
      </c>
      <c r="L46" s="152">
        <f t="shared" si="15"/>
        <v>0</v>
      </c>
      <c r="M46" s="152">
        <f t="shared" si="15"/>
        <v>0</v>
      </c>
      <c r="N46" s="152">
        <f t="shared" si="15"/>
        <v>0</v>
      </c>
      <c r="O46" s="156">
        <f>SUM(F46:N46)</f>
        <v>0</v>
      </c>
      <c r="P46" s="157">
        <v>0</v>
      </c>
      <c r="Q46" s="152"/>
      <c r="R46" s="152">
        <v>8000</v>
      </c>
      <c r="S46" s="159"/>
      <c r="T46" s="158"/>
      <c r="U46" s="160">
        <v>0</v>
      </c>
      <c r="V46" s="145"/>
      <c r="W46" s="161">
        <v>10000</v>
      </c>
      <c r="X46" s="151"/>
    </row>
    <row r="47" spans="1:24" ht="26.1" customHeight="1" x14ac:dyDescent="0.25">
      <c r="A47" s="205" t="s">
        <v>357</v>
      </c>
      <c r="B47" s="47" t="s">
        <v>44</v>
      </c>
      <c r="C47" s="255"/>
      <c r="D47" s="48" t="s">
        <v>11</v>
      </c>
      <c r="E47" s="204" t="s">
        <v>448</v>
      </c>
      <c r="F47" s="212">
        <f>+'x Políticas'!I47*'x Políticas'!$S47</f>
        <v>0</v>
      </c>
      <c r="G47" s="170">
        <f>+'x Políticas'!J47*'x Políticas'!$S47</f>
        <v>0</v>
      </c>
      <c r="H47" s="170">
        <f>+'x Políticas'!K47*'x Políticas'!$S47</f>
        <v>0</v>
      </c>
      <c r="I47" s="170">
        <f>+'x Políticas'!L47*'x Políticas'!$S47</f>
        <v>0</v>
      </c>
      <c r="J47" s="170">
        <f>+'x Políticas'!M47*'x Políticas'!$S47</f>
        <v>0</v>
      </c>
      <c r="K47" s="170">
        <f>+'x Políticas'!N47*'x Políticas'!$S47</f>
        <v>0</v>
      </c>
      <c r="L47" s="170">
        <f>+'x Políticas'!O47*'x Políticas'!$S47</f>
        <v>0</v>
      </c>
      <c r="M47" s="170">
        <f>+'x Políticas'!P47*'x Políticas'!$S47</f>
        <v>0</v>
      </c>
      <c r="N47" s="170">
        <f>+'x Políticas'!Q47*'x Políticas'!$S47</f>
        <v>0</v>
      </c>
      <c r="O47" s="213">
        <f>+'x Políticas'!R47*'x Políticas'!$S47</f>
        <v>0</v>
      </c>
      <c r="P47" s="214"/>
      <c r="Q47" s="48"/>
      <c r="R47" s="215">
        <v>1</v>
      </c>
      <c r="S47" s="216" t="s">
        <v>388</v>
      </c>
      <c r="T47" s="70"/>
      <c r="U47" s="71"/>
      <c r="V47" s="71"/>
      <c r="W47" s="221">
        <v>10000</v>
      </c>
      <c r="X47" s="222"/>
    </row>
    <row r="48" spans="1:24" ht="26.1" customHeight="1" x14ac:dyDescent="0.25">
      <c r="A48" s="144" t="s">
        <v>355</v>
      </c>
      <c r="B48" s="59" t="s">
        <v>4</v>
      </c>
      <c r="C48" s="145"/>
      <c r="D48" s="60"/>
      <c r="E48" s="143" t="s">
        <v>45</v>
      </c>
      <c r="F48" s="157">
        <f>SUM(F49)</f>
        <v>32454.545454545456</v>
      </c>
      <c r="G48" s="152">
        <f>SUM(G49)</f>
        <v>17000</v>
      </c>
      <c r="H48" s="152">
        <f t="shared" ref="H48:N48" si="16">SUM(H49)</f>
        <v>17000</v>
      </c>
      <c r="I48" s="152">
        <f t="shared" si="16"/>
        <v>17000</v>
      </c>
      <c r="J48" s="152">
        <f t="shared" si="16"/>
        <v>17000</v>
      </c>
      <c r="K48" s="152">
        <f t="shared" si="16"/>
        <v>17000</v>
      </c>
      <c r="L48" s="152">
        <f t="shared" si="16"/>
        <v>17000</v>
      </c>
      <c r="M48" s="152">
        <f t="shared" si="16"/>
        <v>17000</v>
      </c>
      <c r="N48" s="152">
        <f t="shared" si="16"/>
        <v>17000</v>
      </c>
      <c r="O48" s="156">
        <f>SUM(F48:N48)</f>
        <v>168454.54545454547</v>
      </c>
      <c r="P48" s="157">
        <v>168454.54545454544</v>
      </c>
      <c r="Q48" s="152"/>
      <c r="R48" s="152">
        <v>29727.272727272724</v>
      </c>
      <c r="S48" s="159"/>
      <c r="T48" s="158"/>
      <c r="U48" s="160">
        <v>0</v>
      </c>
      <c r="V48" s="145"/>
      <c r="W48" s="161">
        <v>110909.09090909091</v>
      </c>
      <c r="X48" s="151"/>
    </row>
    <row r="49" spans="1:24" ht="26.1" customHeight="1" x14ac:dyDescent="0.25">
      <c r="A49" s="205" t="s">
        <v>355</v>
      </c>
      <c r="B49" s="47" t="s">
        <v>4</v>
      </c>
      <c r="C49" s="48" t="s">
        <v>404</v>
      </c>
      <c r="D49" s="48" t="s">
        <v>394</v>
      </c>
      <c r="E49" s="204" t="s">
        <v>487</v>
      </c>
      <c r="F49" s="212">
        <f>+'x Políticas'!I49*'x Políticas'!$S49</f>
        <v>32454.545454545456</v>
      </c>
      <c r="G49" s="170">
        <f>+'x Políticas'!J49*'x Políticas'!$S49</f>
        <v>17000</v>
      </c>
      <c r="H49" s="170">
        <f>+'x Políticas'!K49*'x Políticas'!$S49</f>
        <v>17000</v>
      </c>
      <c r="I49" s="170">
        <f>+'x Políticas'!L49*'x Políticas'!$S49</f>
        <v>17000</v>
      </c>
      <c r="J49" s="170">
        <f>+'x Políticas'!M49*'x Políticas'!$S49</f>
        <v>17000</v>
      </c>
      <c r="K49" s="170">
        <f>+'x Políticas'!N49*'x Políticas'!$S49</f>
        <v>17000</v>
      </c>
      <c r="L49" s="170">
        <f>+'x Políticas'!O49*'x Políticas'!$S49</f>
        <v>17000</v>
      </c>
      <c r="M49" s="170">
        <f>+'x Políticas'!P49*'x Políticas'!$S49</f>
        <v>17000</v>
      </c>
      <c r="N49" s="170">
        <f>+'x Políticas'!Q49*'x Políticas'!$S49</f>
        <v>17000</v>
      </c>
      <c r="O49" s="213">
        <f>+'x Políticas'!R49*'x Políticas'!$S49</f>
        <v>168454.54545454544</v>
      </c>
      <c r="P49" s="270">
        <v>0.85</v>
      </c>
      <c r="Q49" s="48"/>
      <c r="R49" s="215">
        <v>0.15</v>
      </c>
      <c r="S49" s="243" t="s">
        <v>388</v>
      </c>
      <c r="T49" s="70"/>
      <c r="U49" s="71"/>
      <c r="V49" s="71"/>
      <c r="W49" s="221">
        <v>110909.09090909091</v>
      </c>
      <c r="X49" s="222"/>
    </row>
    <row r="50" spans="1:24" ht="26.1" customHeight="1" x14ac:dyDescent="0.25">
      <c r="A50" s="144" t="s">
        <v>355</v>
      </c>
      <c r="B50" s="59" t="s">
        <v>2</v>
      </c>
      <c r="C50" s="145"/>
      <c r="D50" s="60"/>
      <c r="E50" s="143" t="s">
        <v>46</v>
      </c>
      <c r="F50" s="157">
        <f>SUM(F51)</f>
        <v>0</v>
      </c>
      <c r="G50" s="152">
        <f>SUM(G51)</f>
        <v>0</v>
      </c>
      <c r="H50" s="152">
        <f t="shared" ref="H50:N50" si="17">SUM(H51)</f>
        <v>0</v>
      </c>
      <c r="I50" s="152">
        <f t="shared" si="17"/>
        <v>0</v>
      </c>
      <c r="J50" s="152">
        <f t="shared" si="17"/>
        <v>0</v>
      </c>
      <c r="K50" s="152">
        <f t="shared" si="17"/>
        <v>0</v>
      </c>
      <c r="L50" s="152">
        <f t="shared" si="17"/>
        <v>0</v>
      </c>
      <c r="M50" s="152">
        <f t="shared" si="17"/>
        <v>0</v>
      </c>
      <c r="N50" s="152">
        <f t="shared" si="17"/>
        <v>0</v>
      </c>
      <c r="O50" s="156">
        <f>SUM(F50:N50)</f>
        <v>0</v>
      </c>
      <c r="P50" s="157">
        <v>0</v>
      </c>
      <c r="Q50" s="152"/>
      <c r="R50" s="152">
        <v>0</v>
      </c>
      <c r="S50" s="159"/>
      <c r="T50" s="158"/>
      <c r="U50" s="160">
        <v>0</v>
      </c>
      <c r="V50" s="145"/>
      <c r="W50" s="161">
        <v>29454.545454545456</v>
      </c>
      <c r="X50" s="151"/>
    </row>
    <row r="51" spans="1:24" ht="26.1" customHeight="1" x14ac:dyDescent="0.25">
      <c r="A51" s="205" t="s">
        <v>355</v>
      </c>
      <c r="B51" s="47" t="s">
        <v>2</v>
      </c>
      <c r="C51" s="77" t="s">
        <v>403</v>
      </c>
      <c r="D51" s="48" t="s">
        <v>393</v>
      </c>
      <c r="E51" s="312" t="s">
        <v>47</v>
      </c>
      <c r="F51" s="321">
        <f>+'x Políticas'!I51*'x Políticas'!$S51</f>
        <v>0</v>
      </c>
      <c r="G51" s="317">
        <f>+'x Políticas'!J51*'x Políticas'!$S51</f>
        <v>0</v>
      </c>
      <c r="H51" s="317">
        <f>+'x Políticas'!K51*'x Políticas'!$S51</f>
        <v>0</v>
      </c>
      <c r="I51" s="317">
        <f>+'x Políticas'!L51*'x Políticas'!$S51</f>
        <v>0</v>
      </c>
      <c r="J51" s="317">
        <f>+'x Políticas'!M51*'x Políticas'!$S51</f>
        <v>0</v>
      </c>
      <c r="K51" s="317">
        <f>+'x Políticas'!N51*'x Políticas'!$S51</f>
        <v>0</v>
      </c>
      <c r="L51" s="317">
        <f>+'x Políticas'!O51*'x Políticas'!$S51</f>
        <v>0</v>
      </c>
      <c r="M51" s="317">
        <f>+'x Políticas'!P51*'x Políticas'!$S51</f>
        <v>0</v>
      </c>
      <c r="N51" s="317">
        <f>+'x Políticas'!Q51*'x Políticas'!$S51</f>
        <v>0</v>
      </c>
      <c r="O51" s="213">
        <f>+'x Políticas'!R51*'x Políticas'!$S51</f>
        <v>0</v>
      </c>
      <c r="P51" s="322"/>
      <c r="Q51" s="77"/>
      <c r="R51" s="77"/>
      <c r="S51" s="323"/>
      <c r="T51" s="72"/>
      <c r="U51" s="73"/>
      <c r="V51" s="73"/>
      <c r="W51" s="221">
        <v>29454.545454545456</v>
      </c>
      <c r="X51" s="327"/>
    </row>
    <row r="52" spans="1:24" ht="26.1" customHeight="1" x14ac:dyDescent="0.25">
      <c r="A52" s="287" t="s">
        <v>355</v>
      </c>
      <c r="B52" s="63" t="s">
        <v>490</v>
      </c>
      <c r="C52" s="288"/>
      <c r="D52" s="64"/>
      <c r="E52" s="286" t="s">
        <v>48</v>
      </c>
      <c r="F52" s="298">
        <f>SUM(F53)</f>
        <v>0</v>
      </c>
      <c r="G52" s="294">
        <f>SUM(G53)</f>
        <v>181.81818181818181</v>
      </c>
      <c r="H52" s="294">
        <f t="shared" ref="H52:N52" si="18">SUM(H53)</f>
        <v>454.54545454545456</v>
      </c>
      <c r="I52" s="294">
        <f t="shared" si="18"/>
        <v>454.54545454545456</v>
      </c>
      <c r="J52" s="294">
        <f t="shared" si="18"/>
        <v>454.54545454545456</v>
      </c>
      <c r="K52" s="294">
        <f t="shared" si="18"/>
        <v>454.54545454545456</v>
      </c>
      <c r="L52" s="294">
        <f t="shared" si="18"/>
        <v>454.54545454545456</v>
      </c>
      <c r="M52" s="294">
        <f t="shared" si="18"/>
        <v>454.54545454545456</v>
      </c>
      <c r="N52" s="294">
        <f t="shared" si="18"/>
        <v>454.54545454545456</v>
      </c>
      <c r="O52" s="299">
        <f>SUM(F52:N52)</f>
        <v>3363.6363636363635</v>
      </c>
      <c r="P52" s="298">
        <v>3363.6363636363635</v>
      </c>
      <c r="Q52" s="294"/>
      <c r="R52" s="294">
        <v>0</v>
      </c>
      <c r="S52" s="301"/>
      <c r="T52" s="300"/>
      <c r="U52" s="302">
        <v>0</v>
      </c>
      <c r="V52" s="288"/>
      <c r="W52" s="303">
        <v>125727.27272727272</v>
      </c>
      <c r="X52" s="293"/>
    </row>
    <row r="53" spans="1:24" ht="26.1" customHeight="1" x14ac:dyDescent="0.25">
      <c r="A53" s="205" t="s">
        <v>355</v>
      </c>
      <c r="B53" s="47" t="s">
        <v>490</v>
      </c>
      <c r="C53" s="255"/>
      <c r="D53" s="48" t="s">
        <v>399</v>
      </c>
      <c r="E53" s="204" t="s">
        <v>49</v>
      </c>
      <c r="F53" s="212">
        <f>+'x Políticas'!I53*'x Políticas'!$S53</f>
        <v>0</v>
      </c>
      <c r="G53" s="170">
        <f>+'x Políticas'!J53*'x Políticas'!$S53</f>
        <v>181.81818181818181</v>
      </c>
      <c r="H53" s="170">
        <f>+'x Políticas'!K53*'x Políticas'!$S53</f>
        <v>454.54545454545456</v>
      </c>
      <c r="I53" s="170">
        <f>+'x Políticas'!L53*'x Políticas'!$S53</f>
        <v>454.54545454545456</v>
      </c>
      <c r="J53" s="170">
        <f>+'x Políticas'!M53*'x Políticas'!$S53</f>
        <v>454.54545454545456</v>
      </c>
      <c r="K53" s="170">
        <f>+'x Políticas'!N53*'x Políticas'!$S53</f>
        <v>454.54545454545456</v>
      </c>
      <c r="L53" s="170">
        <f>+'x Políticas'!O53*'x Políticas'!$S53</f>
        <v>454.54545454545456</v>
      </c>
      <c r="M53" s="170">
        <f>+'x Políticas'!P53*'x Políticas'!$S53</f>
        <v>454.54545454545456</v>
      </c>
      <c r="N53" s="170">
        <f>+'x Políticas'!Q53*'x Políticas'!$S53</f>
        <v>454.54545454545456</v>
      </c>
      <c r="O53" s="213">
        <f>+'x Políticas'!R53*'x Políticas'!$S53</f>
        <v>3363.6363636363635</v>
      </c>
      <c r="P53" s="285">
        <v>1</v>
      </c>
      <c r="Q53" s="48"/>
      <c r="R53" s="48"/>
      <c r="S53" s="216"/>
      <c r="T53" s="70"/>
      <c r="U53" s="71"/>
      <c r="V53" s="71"/>
      <c r="W53" s="221">
        <v>125727.27272727272</v>
      </c>
      <c r="X53" s="222"/>
    </row>
    <row r="54" spans="1:24" ht="26.1" customHeight="1" x14ac:dyDescent="0.25">
      <c r="A54" s="99"/>
      <c r="B54" s="55"/>
      <c r="C54" s="126"/>
      <c r="D54" s="56"/>
      <c r="E54" s="98" t="s">
        <v>51</v>
      </c>
      <c r="F54" s="136">
        <f>+F55+F59</f>
        <v>1144185.5317870795</v>
      </c>
      <c r="G54" s="133">
        <f>+G55+G59</f>
        <v>1156549.1681507158</v>
      </c>
      <c r="H54" s="133">
        <f t="shared" ref="H54:N54" si="19">+H55+H59</f>
        <v>1150367.3499688976</v>
      </c>
      <c r="I54" s="133">
        <f t="shared" si="19"/>
        <v>918238.82464267348</v>
      </c>
      <c r="J54" s="133">
        <f t="shared" si="19"/>
        <v>912057.00646085525</v>
      </c>
      <c r="K54" s="133">
        <f t="shared" si="19"/>
        <v>912057.00646085525</v>
      </c>
      <c r="L54" s="133">
        <f t="shared" si="19"/>
        <v>912057.00646085525</v>
      </c>
      <c r="M54" s="133">
        <f t="shared" si="19"/>
        <v>912057.00646085525</v>
      </c>
      <c r="N54" s="133">
        <f t="shared" si="19"/>
        <v>912057.00646085525</v>
      </c>
      <c r="O54" s="137">
        <f>SUM(F54:N54)</f>
        <v>8929625.9068536405</v>
      </c>
      <c r="P54" s="136">
        <v>8929625.9068536423</v>
      </c>
      <c r="Q54" s="133"/>
      <c r="R54" s="133">
        <v>2518026.77715219</v>
      </c>
      <c r="S54" s="139"/>
      <c r="T54" s="138"/>
      <c r="U54" s="140">
        <v>6000</v>
      </c>
      <c r="V54" s="126"/>
      <c r="W54" s="141">
        <v>12028607.229460372</v>
      </c>
      <c r="X54" s="132"/>
    </row>
    <row r="55" spans="1:24" ht="26.1" customHeight="1" x14ac:dyDescent="0.25">
      <c r="A55" s="287" t="s">
        <v>355</v>
      </c>
      <c r="B55" s="63" t="s">
        <v>656</v>
      </c>
      <c r="C55" s="288"/>
      <c r="D55" s="64"/>
      <c r="E55" s="286" t="s">
        <v>52</v>
      </c>
      <c r="F55" s="298">
        <f>+F56+F57</f>
        <v>843548.94492788846</v>
      </c>
      <c r="G55" s="294">
        <f>+G56+G57</f>
        <v>843548.94492788846</v>
      </c>
      <c r="H55" s="294">
        <f t="shared" ref="H55:N55" si="20">+H56+H57</f>
        <v>843548.94492788846</v>
      </c>
      <c r="I55" s="294">
        <f t="shared" si="20"/>
        <v>843548.94492788846</v>
      </c>
      <c r="J55" s="294">
        <f t="shared" si="20"/>
        <v>843548.94492788846</v>
      </c>
      <c r="K55" s="294">
        <f t="shared" si="20"/>
        <v>843548.94492788846</v>
      </c>
      <c r="L55" s="294">
        <f t="shared" si="20"/>
        <v>843548.94492788846</v>
      </c>
      <c r="M55" s="294">
        <f t="shared" si="20"/>
        <v>843548.94492788846</v>
      </c>
      <c r="N55" s="294">
        <f t="shared" si="20"/>
        <v>843548.94492788846</v>
      </c>
      <c r="O55" s="299">
        <f>SUM(F55:N55)</f>
        <v>7591940.5043509938</v>
      </c>
      <c r="P55" s="298">
        <v>7591940.5043509956</v>
      </c>
      <c r="Q55" s="294"/>
      <c r="R55" s="294">
        <v>399575.81601847347</v>
      </c>
      <c r="S55" s="301"/>
      <c r="T55" s="300"/>
      <c r="U55" s="302">
        <v>0</v>
      </c>
      <c r="V55" s="288"/>
      <c r="W55" s="303">
        <v>7991516.320369469</v>
      </c>
      <c r="X55" s="293"/>
    </row>
    <row r="56" spans="1:24" ht="27.75" customHeight="1" x14ac:dyDescent="0.25">
      <c r="A56" s="144" t="s">
        <v>355</v>
      </c>
      <c r="B56" s="59" t="s">
        <v>1</v>
      </c>
      <c r="C56" s="145"/>
      <c r="D56" s="60"/>
      <c r="E56" s="143" t="s">
        <v>53</v>
      </c>
      <c r="F56" s="157"/>
      <c r="G56" s="152"/>
      <c r="H56" s="152"/>
      <c r="I56" s="152"/>
      <c r="J56" s="152"/>
      <c r="K56" s="152"/>
      <c r="L56" s="152"/>
      <c r="M56" s="152"/>
      <c r="N56" s="152"/>
      <c r="O56" s="156"/>
      <c r="P56" s="158"/>
      <c r="Q56" s="145"/>
      <c r="R56" s="145"/>
      <c r="S56" s="159"/>
      <c r="T56" s="158"/>
      <c r="U56" s="145"/>
      <c r="V56" s="145"/>
      <c r="W56" s="145">
        <v>0</v>
      </c>
      <c r="X56" s="151"/>
    </row>
    <row r="57" spans="1:24" ht="26.1" customHeight="1" x14ac:dyDescent="0.25">
      <c r="A57" s="144" t="s">
        <v>355</v>
      </c>
      <c r="B57" s="59" t="s">
        <v>3</v>
      </c>
      <c r="C57" s="145"/>
      <c r="D57" s="60"/>
      <c r="E57" s="143" t="s">
        <v>58</v>
      </c>
      <c r="F57" s="157">
        <f>SUM(F58)</f>
        <v>843548.94492788846</v>
      </c>
      <c r="G57" s="152">
        <f>SUM(G58)</f>
        <v>843548.94492788846</v>
      </c>
      <c r="H57" s="152">
        <f t="shared" ref="H57:N57" si="21">SUM(H58)</f>
        <v>843548.94492788846</v>
      </c>
      <c r="I57" s="152">
        <f t="shared" si="21"/>
        <v>843548.94492788846</v>
      </c>
      <c r="J57" s="152">
        <f t="shared" si="21"/>
        <v>843548.94492788846</v>
      </c>
      <c r="K57" s="152">
        <f t="shared" si="21"/>
        <v>843548.94492788846</v>
      </c>
      <c r="L57" s="152">
        <f t="shared" si="21"/>
        <v>843548.94492788846</v>
      </c>
      <c r="M57" s="152">
        <f t="shared" si="21"/>
        <v>843548.94492788846</v>
      </c>
      <c r="N57" s="152">
        <f t="shared" si="21"/>
        <v>843548.94492788846</v>
      </c>
      <c r="O57" s="156">
        <f>SUM(F57:N57)</f>
        <v>7591940.5043509938</v>
      </c>
      <c r="P57" s="157">
        <v>7591940.5043509956</v>
      </c>
      <c r="Q57" s="152"/>
      <c r="R57" s="152">
        <v>399575.81601847347</v>
      </c>
      <c r="S57" s="159"/>
      <c r="T57" s="158"/>
      <c r="U57" s="160">
        <v>0</v>
      </c>
      <c r="V57" s="145"/>
      <c r="W57" s="161">
        <v>7991516.320369469</v>
      </c>
      <c r="X57" s="151"/>
    </row>
    <row r="58" spans="1:24" ht="26.1" customHeight="1" x14ac:dyDescent="0.25">
      <c r="A58" s="205" t="s">
        <v>355</v>
      </c>
      <c r="B58" s="47" t="s">
        <v>3</v>
      </c>
      <c r="C58" s="48" t="s">
        <v>655</v>
      </c>
      <c r="D58" s="48" t="s">
        <v>396</v>
      </c>
      <c r="E58" s="204" t="s">
        <v>59</v>
      </c>
      <c r="F58" s="212">
        <f>+'x Políticas'!I58*'x Políticas'!$S58</f>
        <v>843548.94492788846</v>
      </c>
      <c r="G58" s="217">
        <f>+'x Políticas'!J58*'x Políticas'!$S58</f>
        <v>843548.94492788846</v>
      </c>
      <c r="H58" s="217">
        <f>+'x Políticas'!K58*'x Políticas'!$S58</f>
        <v>843548.94492788846</v>
      </c>
      <c r="I58" s="217">
        <f>+'x Políticas'!L58*'x Políticas'!$S58</f>
        <v>843548.94492788846</v>
      </c>
      <c r="J58" s="217">
        <f>+'x Políticas'!M58*'x Políticas'!$S58</f>
        <v>843548.94492788846</v>
      </c>
      <c r="K58" s="217">
        <f>+'x Políticas'!N58*'x Políticas'!$S58</f>
        <v>843548.94492788846</v>
      </c>
      <c r="L58" s="217">
        <f>+'x Políticas'!O58*'x Políticas'!$S58</f>
        <v>843548.94492788846</v>
      </c>
      <c r="M58" s="217">
        <f>+'x Políticas'!P58*'x Políticas'!$S58</f>
        <v>843548.94492788846</v>
      </c>
      <c r="N58" s="217">
        <f>+'x Políticas'!Q58*'x Políticas'!$S58</f>
        <v>843548.94492788846</v>
      </c>
      <c r="O58" s="213">
        <f>+'x Políticas'!R58*'x Políticas'!$S58</f>
        <v>7591940.5043509956</v>
      </c>
      <c r="P58" s="253">
        <v>0.95</v>
      </c>
      <c r="Q58" s="48"/>
      <c r="R58" s="215">
        <v>0.05</v>
      </c>
      <c r="S58" s="216"/>
      <c r="T58" s="70"/>
      <c r="U58" s="71"/>
      <c r="V58" s="71"/>
      <c r="W58" s="221">
        <v>7991516.320369469</v>
      </c>
      <c r="X58" s="222"/>
    </row>
    <row r="59" spans="1:24" ht="26.1" customHeight="1" x14ac:dyDescent="0.25">
      <c r="A59" s="287"/>
      <c r="B59" s="63" t="s">
        <v>490</v>
      </c>
      <c r="C59" s="288"/>
      <c r="D59" s="64"/>
      <c r="E59" s="286" t="s">
        <v>248</v>
      </c>
      <c r="F59" s="298">
        <f>+F60+F63</f>
        <v>300636.58685919101</v>
      </c>
      <c r="G59" s="294">
        <f>+G60+G63</f>
        <v>313000.22322282736</v>
      </c>
      <c r="H59" s="294">
        <f t="shared" ref="H59:N59" si="22">+H60+H63</f>
        <v>306818.40504100919</v>
      </c>
      <c r="I59" s="294">
        <f t="shared" si="22"/>
        <v>74689.879714784998</v>
      </c>
      <c r="J59" s="294">
        <f t="shared" si="22"/>
        <v>68508.061532966822</v>
      </c>
      <c r="K59" s="294">
        <f t="shared" si="22"/>
        <v>68508.061532966822</v>
      </c>
      <c r="L59" s="294">
        <f t="shared" si="22"/>
        <v>68508.061532966822</v>
      </c>
      <c r="M59" s="294">
        <f t="shared" si="22"/>
        <v>68508.061532966822</v>
      </c>
      <c r="N59" s="294">
        <f t="shared" si="22"/>
        <v>68508.061532966822</v>
      </c>
      <c r="O59" s="299">
        <f>SUM(F59:N59)</f>
        <v>1337685.4025026467</v>
      </c>
      <c r="P59" s="298">
        <v>1337685.4025026467</v>
      </c>
      <c r="Q59" s="294"/>
      <c r="R59" s="294">
        <v>2118450.9611337166</v>
      </c>
      <c r="S59" s="301"/>
      <c r="T59" s="300"/>
      <c r="U59" s="302">
        <v>6000</v>
      </c>
      <c r="V59" s="288"/>
      <c r="W59" s="303">
        <v>4037090.9090909022</v>
      </c>
      <c r="X59" s="293"/>
    </row>
    <row r="60" spans="1:24" ht="26.1" customHeight="1" x14ac:dyDescent="0.25">
      <c r="A60" s="144" t="s">
        <v>357</v>
      </c>
      <c r="B60" s="59" t="s">
        <v>490</v>
      </c>
      <c r="C60" s="145"/>
      <c r="D60" s="60"/>
      <c r="E60" s="143" t="s">
        <v>54</v>
      </c>
      <c r="F60" s="157">
        <f>SUM(F61:F62)</f>
        <v>300636.58685919101</v>
      </c>
      <c r="G60" s="152">
        <f>SUM(G61:G62)</f>
        <v>300636.58685919101</v>
      </c>
      <c r="H60" s="152">
        <f t="shared" ref="H60:N60" si="23">SUM(H61:H62)</f>
        <v>300636.58685919101</v>
      </c>
      <c r="I60" s="152">
        <f t="shared" si="23"/>
        <v>68508.061532966822</v>
      </c>
      <c r="J60" s="152">
        <f t="shared" si="23"/>
        <v>68508.061532966822</v>
      </c>
      <c r="K60" s="152">
        <f t="shared" si="23"/>
        <v>68508.061532966822</v>
      </c>
      <c r="L60" s="152">
        <f t="shared" si="23"/>
        <v>68508.061532966822</v>
      </c>
      <c r="M60" s="152">
        <f t="shared" si="23"/>
        <v>68508.061532966822</v>
      </c>
      <c r="N60" s="152">
        <f t="shared" si="23"/>
        <v>68508.061532966822</v>
      </c>
      <c r="O60" s="156">
        <f>SUM(F60:N60)</f>
        <v>1312958.1297753737</v>
      </c>
      <c r="P60" s="157">
        <v>1312958.129775374</v>
      </c>
      <c r="Q60" s="152"/>
      <c r="R60" s="152">
        <v>2118450.9611337166</v>
      </c>
      <c r="S60" s="159"/>
      <c r="T60" s="158"/>
      <c r="U60" s="160">
        <v>6000</v>
      </c>
      <c r="V60" s="145"/>
      <c r="W60" s="161">
        <v>3999999.999999993</v>
      </c>
      <c r="X60" s="151"/>
    </row>
    <row r="61" spans="1:24" ht="26.1" customHeight="1" x14ac:dyDescent="0.25">
      <c r="A61" s="205" t="s">
        <v>357</v>
      </c>
      <c r="B61" s="47" t="s">
        <v>4</v>
      </c>
      <c r="C61" s="255" t="s">
        <v>405</v>
      </c>
      <c r="D61" s="48" t="s">
        <v>397</v>
      </c>
      <c r="E61" s="204" t="s">
        <v>455</v>
      </c>
      <c r="F61" s="212">
        <f>+'x Políticas'!I61*'x Políticas'!$S61</f>
        <v>300636.58685919101</v>
      </c>
      <c r="G61" s="170">
        <f>+'x Políticas'!J61*'x Políticas'!$S61</f>
        <v>300636.58685919101</v>
      </c>
      <c r="H61" s="170">
        <f>+'x Políticas'!K61*'x Políticas'!$S61</f>
        <v>300636.58685919101</v>
      </c>
      <c r="I61" s="170">
        <f>+'x Políticas'!L61*'x Políticas'!$S61</f>
        <v>68508.061532966822</v>
      </c>
      <c r="J61" s="170">
        <f>+'x Políticas'!M61*'x Políticas'!$S61</f>
        <v>68508.061532966822</v>
      </c>
      <c r="K61" s="170">
        <f>+'x Políticas'!N61*'x Políticas'!$S61</f>
        <v>68508.061532966822</v>
      </c>
      <c r="L61" s="170">
        <f>+'x Políticas'!O61*'x Políticas'!$S61</f>
        <v>68508.061532966822</v>
      </c>
      <c r="M61" s="170">
        <f>+'x Políticas'!P61*'x Políticas'!$S61</f>
        <v>68508.061532966822</v>
      </c>
      <c r="N61" s="170">
        <f>+'x Políticas'!Q61*'x Políticas'!$S61</f>
        <v>68508.061532966822</v>
      </c>
      <c r="O61" s="213">
        <f>+'x Políticas'!R61*'x Políticas'!$S61</f>
        <v>1312958.129775374</v>
      </c>
      <c r="P61" s="330">
        <v>0.38262943735091903</v>
      </c>
      <c r="Q61" s="48"/>
      <c r="R61" s="330">
        <v>0.61737056264908097</v>
      </c>
      <c r="S61" s="216" t="s">
        <v>454</v>
      </c>
      <c r="T61" s="70"/>
      <c r="U61" s="71"/>
      <c r="V61" s="71"/>
      <c r="W61" s="221">
        <v>3999999.999999993</v>
      </c>
      <c r="X61" s="222"/>
    </row>
    <row r="62" spans="1:24" ht="26.1" customHeight="1" x14ac:dyDescent="0.25">
      <c r="A62" s="205" t="s">
        <v>357</v>
      </c>
      <c r="B62" s="47" t="s">
        <v>2</v>
      </c>
      <c r="C62" s="77" t="s">
        <v>403</v>
      </c>
      <c r="D62" s="77" t="s">
        <v>393</v>
      </c>
      <c r="E62" s="312" t="s">
        <v>57</v>
      </c>
      <c r="F62" s="321">
        <f>+'x Políticas'!I62*'x Políticas'!$S62</f>
        <v>0</v>
      </c>
      <c r="G62" s="317">
        <f>+'x Políticas'!J62*'x Políticas'!$S62</f>
        <v>0</v>
      </c>
      <c r="H62" s="317">
        <f>+'x Políticas'!K62*'x Políticas'!$S62</f>
        <v>0</v>
      </c>
      <c r="I62" s="317">
        <f>+'x Políticas'!L62*'x Políticas'!$S62</f>
        <v>0</v>
      </c>
      <c r="J62" s="317">
        <f>+'x Políticas'!M62*'x Políticas'!$S62</f>
        <v>0</v>
      </c>
      <c r="K62" s="317">
        <f>+'x Políticas'!N62*'x Políticas'!$S62</f>
        <v>0</v>
      </c>
      <c r="L62" s="317">
        <f>+'x Políticas'!O62*'x Políticas'!$S62</f>
        <v>0</v>
      </c>
      <c r="M62" s="317">
        <f>+'x Políticas'!P62*'x Políticas'!$S62</f>
        <v>0</v>
      </c>
      <c r="N62" s="317">
        <f>+'x Políticas'!Q62*'x Políticas'!$S62</f>
        <v>0</v>
      </c>
      <c r="O62" s="324">
        <f>+'x Políticas'!R62*'x Políticas'!$S62</f>
        <v>0</v>
      </c>
      <c r="P62" s="322"/>
      <c r="Q62" s="77"/>
      <c r="R62" s="77"/>
      <c r="S62" s="323"/>
      <c r="T62" s="72"/>
      <c r="U62" s="326">
        <v>6000</v>
      </c>
      <c r="V62" s="73"/>
      <c r="W62" s="221">
        <v>0</v>
      </c>
      <c r="X62" s="327"/>
    </row>
    <row r="63" spans="1:24" ht="26.1" customHeight="1" x14ac:dyDescent="0.25">
      <c r="A63" s="144" t="s">
        <v>355</v>
      </c>
      <c r="B63" s="59" t="s">
        <v>4</v>
      </c>
      <c r="C63" s="145"/>
      <c r="D63" s="60"/>
      <c r="E63" s="143" t="s">
        <v>249</v>
      </c>
      <c r="F63" s="157">
        <f>SUM(F64)</f>
        <v>0</v>
      </c>
      <c r="G63" s="152">
        <f>SUM(G64)</f>
        <v>12363.636363636364</v>
      </c>
      <c r="H63" s="152">
        <f t="shared" ref="H63:N63" si="24">SUM(H64)</f>
        <v>6181.818181818182</v>
      </c>
      <c r="I63" s="152">
        <f t="shared" si="24"/>
        <v>6181.818181818182</v>
      </c>
      <c r="J63" s="152">
        <f t="shared" si="24"/>
        <v>0</v>
      </c>
      <c r="K63" s="152">
        <f t="shared" si="24"/>
        <v>0</v>
      </c>
      <c r="L63" s="152">
        <f t="shared" si="24"/>
        <v>0</v>
      </c>
      <c r="M63" s="152">
        <f t="shared" si="24"/>
        <v>0</v>
      </c>
      <c r="N63" s="152">
        <f t="shared" si="24"/>
        <v>0</v>
      </c>
      <c r="O63" s="156">
        <f>SUM(F63:N63)</f>
        <v>24727.272727272728</v>
      </c>
      <c r="P63" s="157">
        <v>24727.272727272728</v>
      </c>
      <c r="Q63" s="152"/>
      <c r="R63" s="152">
        <v>0</v>
      </c>
      <c r="S63" s="159"/>
      <c r="T63" s="158"/>
      <c r="U63" s="160">
        <v>0</v>
      </c>
      <c r="V63" s="145"/>
      <c r="W63" s="161">
        <v>37090.909090909088</v>
      </c>
      <c r="X63" s="151"/>
    </row>
    <row r="64" spans="1:24" ht="26.1" customHeight="1" x14ac:dyDescent="0.25">
      <c r="A64" s="205" t="s">
        <v>355</v>
      </c>
      <c r="B64" s="47" t="s">
        <v>4</v>
      </c>
      <c r="C64" s="48" t="s">
        <v>404</v>
      </c>
      <c r="D64" s="48" t="s">
        <v>394</v>
      </c>
      <c r="E64" s="204" t="s">
        <v>56</v>
      </c>
      <c r="F64" s="212">
        <f>+'x Políticas'!I64*'x Políticas'!$S64</f>
        <v>0</v>
      </c>
      <c r="G64" s="170">
        <f>+'x Políticas'!J64*'x Políticas'!$S64</f>
        <v>12363.636363636364</v>
      </c>
      <c r="H64" s="170">
        <f>+'x Políticas'!K64*'x Políticas'!$S64</f>
        <v>6181.818181818182</v>
      </c>
      <c r="I64" s="170">
        <f>+'x Políticas'!L64*'x Políticas'!$S64</f>
        <v>6181.818181818182</v>
      </c>
      <c r="J64" s="170">
        <f>+'x Políticas'!M64*'x Políticas'!$S64</f>
        <v>0</v>
      </c>
      <c r="K64" s="170">
        <f>+'x Políticas'!N64*'x Políticas'!$S64</f>
        <v>0</v>
      </c>
      <c r="L64" s="170">
        <f>+'x Políticas'!O64*'x Políticas'!$S64</f>
        <v>0</v>
      </c>
      <c r="M64" s="170">
        <f>+'x Políticas'!P64*'x Políticas'!$S64</f>
        <v>0</v>
      </c>
      <c r="N64" s="170">
        <f>+'x Políticas'!Q64*'x Políticas'!$S64</f>
        <v>0</v>
      </c>
      <c r="O64" s="213">
        <f>+'x Políticas'!R64*'x Políticas'!$S64</f>
        <v>24727.272727272728</v>
      </c>
      <c r="P64" s="242">
        <v>1</v>
      </c>
      <c r="Q64" s="48"/>
      <c r="R64" s="48"/>
      <c r="S64" s="243"/>
      <c r="T64" s="70"/>
      <c r="U64" s="71"/>
      <c r="V64" s="71"/>
      <c r="W64" s="221">
        <v>37090.909090909088</v>
      </c>
      <c r="X64" s="222"/>
    </row>
    <row r="65" spans="1:24" ht="26.1" customHeight="1" x14ac:dyDescent="0.25">
      <c r="A65" s="99"/>
      <c r="B65" s="55"/>
      <c r="C65" s="126"/>
      <c r="D65" s="56"/>
      <c r="E65" s="98" t="s">
        <v>60</v>
      </c>
      <c r="F65" s="136">
        <f t="shared" ref="F65:N65" si="25">+F66+F70+F74+F76+F78+F82+F85+F87+F91+F95+F97</f>
        <v>113374.93857493857</v>
      </c>
      <c r="G65" s="133">
        <f t="shared" si="25"/>
        <v>116547.30221130222</v>
      </c>
      <c r="H65" s="133">
        <f t="shared" si="25"/>
        <v>107957.0840950041</v>
      </c>
      <c r="I65" s="133">
        <f t="shared" si="25"/>
        <v>101685.0120150696</v>
      </c>
      <c r="J65" s="133">
        <f t="shared" si="25"/>
        <v>94295.539443498768</v>
      </c>
      <c r="K65" s="133">
        <f t="shared" si="25"/>
        <v>96433.07884547695</v>
      </c>
      <c r="L65" s="133">
        <f t="shared" si="25"/>
        <v>96309.471702241746</v>
      </c>
      <c r="M65" s="133">
        <f t="shared" si="25"/>
        <v>98507.429071982231</v>
      </c>
      <c r="N65" s="133">
        <f t="shared" si="25"/>
        <v>98446.05243554218</v>
      </c>
      <c r="O65" s="137">
        <f>SUM(F65:N65)</f>
        <v>923555.9083950565</v>
      </c>
      <c r="P65" s="136">
        <v>923555.9083950565</v>
      </c>
      <c r="Q65" s="133"/>
      <c r="R65" s="133">
        <v>1002846.1916461916</v>
      </c>
      <c r="S65" s="139"/>
      <c r="T65" s="138"/>
      <c r="U65" s="140">
        <v>2666500</v>
      </c>
      <c r="V65" s="126"/>
      <c r="W65" s="141">
        <v>2325369.3572235494</v>
      </c>
      <c r="X65" s="132"/>
    </row>
    <row r="66" spans="1:24" ht="26.1" customHeight="1" x14ac:dyDescent="0.25">
      <c r="A66" s="144" t="s">
        <v>357</v>
      </c>
      <c r="B66" s="59" t="s">
        <v>4</v>
      </c>
      <c r="C66" s="145"/>
      <c r="D66" s="60"/>
      <c r="E66" s="143" t="s">
        <v>61</v>
      </c>
      <c r="F66" s="157">
        <f>SUM(F67:F69)</f>
        <v>29381.81818181818</v>
      </c>
      <c r="G66" s="152">
        <f>SUM(G67:G69)</f>
        <v>30263.272727272728</v>
      </c>
      <c r="H66" s="152">
        <f t="shared" ref="H66:N66" si="26">SUM(H67:H69)</f>
        <v>31171.17090909091</v>
      </c>
      <c r="I66" s="152">
        <f t="shared" si="26"/>
        <v>32106.306036363636</v>
      </c>
      <c r="J66" s="152">
        <f t="shared" si="26"/>
        <v>33069.495217454547</v>
      </c>
      <c r="K66" s="152">
        <f t="shared" si="26"/>
        <v>34061.580073978184</v>
      </c>
      <c r="L66" s="152">
        <f t="shared" si="26"/>
        <v>35083.427476197532</v>
      </c>
      <c r="M66" s="152">
        <f t="shared" si="26"/>
        <v>36135.930300483466</v>
      </c>
      <c r="N66" s="152">
        <f t="shared" si="26"/>
        <v>37220.008209497959</v>
      </c>
      <c r="O66" s="156">
        <f>SUM(F66:N66)</f>
        <v>298493.00913215714</v>
      </c>
      <c r="P66" s="157">
        <v>298493.0091321572</v>
      </c>
      <c r="Q66" s="145"/>
      <c r="R66" s="161">
        <v>0</v>
      </c>
      <c r="S66" s="159"/>
      <c r="T66" s="158"/>
      <c r="U66" s="160">
        <v>443000</v>
      </c>
      <c r="V66" s="145"/>
      <c r="W66" s="152">
        <v>1084092.8389165022</v>
      </c>
      <c r="X66" s="151"/>
    </row>
    <row r="67" spans="1:24" ht="26.1" customHeight="1" x14ac:dyDescent="0.25">
      <c r="A67" s="205" t="s">
        <v>356</v>
      </c>
      <c r="B67" s="47" t="s">
        <v>4</v>
      </c>
      <c r="C67" s="48" t="s">
        <v>406</v>
      </c>
      <c r="D67" s="48" t="s">
        <v>63</v>
      </c>
      <c r="E67" s="204" t="s">
        <v>62</v>
      </c>
      <c r="F67" s="212">
        <f>+'x Políticas'!I67*'x Políticas'!$S67</f>
        <v>22472.727272727272</v>
      </c>
      <c r="G67" s="170">
        <f>+'x Políticas'!J67*'x Políticas'!$S67</f>
        <v>23146.909090909092</v>
      </c>
      <c r="H67" s="170">
        <f>+'x Políticas'!K67*'x Políticas'!$S67</f>
        <v>23841.316363636364</v>
      </c>
      <c r="I67" s="170">
        <f>+'x Políticas'!L67*'x Políticas'!$S67</f>
        <v>24556.555854545455</v>
      </c>
      <c r="J67" s="170">
        <f>+'x Políticas'!M67*'x Políticas'!$S67</f>
        <v>25293.25253018182</v>
      </c>
      <c r="K67" s="170">
        <f>+'x Políticas'!N67*'x Políticas'!$S67</f>
        <v>26052.050106087278</v>
      </c>
      <c r="L67" s="170">
        <f>+'x Políticas'!O67*'x Políticas'!$S67</f>
        <v>26833.611609269894</v>
      </c>
      <c r="M67" s="170">
        <f>+'x Políticas'!P67*'x Políticas'!$S67</f>
        <v>27638.619957547995</v>
      </c>
      <c r="N67" s="170">
        <f>+'x Políticas'!Q67*'x Políticas'!$S67</f>
        <v>28467.778556274432</v>
      </c>
      <c r="O67" s="213">
        <f>+'x Políticas'!R67*'x Políticas'!$S67</f>
        <v>228302.8213411796</v>
      </c>
      <c r="P67" s="270">
        <v>1</v>
      </c>
      <c r="Q67" s="48"/>
      <c r="R67" s="48"/>
      <c r="S67" s="243"/>
      <c r="T67" s="70"/>
      <c r="U67" s="220">
        <v>218000</v>
      </c>
      <c r="V67" s="71" t="s">
        <v>328</v>
      </c>
      <c r="W67" s="221">
        <v>1012055.540920499</v>
      </c>
      <c r="X67" s="222"/>
    </row>
    <row r="68" spans="1:24" ht="26.1" customHeight="1" x14ac:dyDescent="0.25">
      <c r="A68" s="275" t="s">
        <v>357</v>
      </c>
      <c r="B68" s="47" t="s">
        <v>4</v>
      </c>
      <c r="C68" s="48" t="s">
        <v>406</v>
      </c>
      <c r="D68" s="48" t="s">
        <v>63</v>
      </c>
      <c r="E68" s="237" t="s">
        <v>64</v>
      </c>
      <c r="F68" s="212">
        <f>+'x Políticas'!I68*'x Políticas'!$S68</f>
        <v>6909.090909090909</v>
      </c>
      <c r="G68" s="170">
        <f>+'x Políticas'!J68*'x Políticas'!$S68</f>
        <v>7116.363636363636</v>
      </c>
      <c r="H68" s="170">
        <f>+'x Políticas'!K68*'x Políticas'!$S68</f>
        <v>7329.8545454545456</v>
      </c>
      <c r="I68" s="170">
        <f>+'x Políticas'!L68*'x Políticas'!$S68</f>
        <v>7549.7501818181818</v>
      </c>
      <c r="J68" s="170">
        <f>+'x Políticas'!M68*'x Políticas'!$S68</f>
        <v>7776.2426872727274</v>
      </c>
      <c r="K68" s="170">
        <f>+'x Políticas'!N68*'x Políticas'!$S68</f>
        <v>8009.5299678909105</v>
      </c>
      <c r="L68" s="170">
        <f>+'x Políticas'!O68*'x Políticas'!$S68</f>
        <v>8249.8158669276381</v>
      </c>
      <c r="M68" s="170">
        <f>+'x Políticas'!P68*'x Políticas'!$S68</f>
        <v>8497.3103429354669</v>
      </c>
      <c r="N68" s="170">
        <f>+'x Políticas'!Q68*'x Políticas'!$S68</f>
        <v>8752.2296532235305</v>
      </c>
      <c r="O68" s="213">
        <f>+'x Políticas'!R68*'x Políticas'!$S68</f>
        <v>70190.187790977565</v>
      </c>
      <c r="P68" s="270">
        <v>1</v>
      </c>
      <c r="Q68" s="48"/>
      <c r="R68" s="48"/>
      <c r="S68" s="243"/>
      <c r="T68" s="70"/>
      <c r="U68" s="220"/>
      <c r="V68" s="71"/>
      <c r="W68" s="221">
        <v>72037.297996003283</v>
      </c>
      <c r="X68" s="222"/>
    </row>
    <row r="69" spans="1:24" ht="26.1" customHeight="1" x14ac:dyDescent="0.25">
      <c r="A69" s="205" t="s">
        <v>357</v>
      </c>
      <c r="B69" s="47" t="s">
        <v>4</v>
      </c>
      <c r="C69" s="48" t="s">
        <v>403</v>
      </c>
      <c r="D69" s="48" t="s">
        <v>393</v>
      </c>
      <c r="E69" s="312" t="s">
        <v>65</v>
      </c>
      <c r="F69" s="321">
        <f>+'x Políticas'!I69*'x Políticas'!$S69</f>
        <v>0</v>
      </c>
      <c r="G69" s="317">
        <f>+'x Políticas'!J69*'x Políticas'!$S69</f>
        <v>0</v>
      </c>
      <c r="H69" s="317">
        <f>+'x Políticas'!K69*'x Políticas'!$S69</f>
        <v>0</v>
      </c>
      <c r="I69" s="317">
        <f>+'x Políticas'!L69*'x Políticas'!$S69</f>
        <v>0</v>
      </c>
      <c r="J69" s="317">
        <f>+'x Políticas'!M69*'x Políticas'!$S69</f>
        <v>0</v>
      </c>
      <c r="K69" s="317">
        <f>+'x Políticas'!N69*'x Políticas'!$S69</f>
        <v>0</v>
      </c>
      <c r="L69" s="317">
        <f>+'x Políticas'!O69*'x Políticas'!$S69</f>
        <v>0</v>
      </c>
      <c r="M69" s="317">
        <f>+'x Políticas'!P69*'x Políticas'!$S69</f>
        <v>0</v>
      </c>
      <c r="N69" s="317">
        <f>+'x Políticas'!Q69*'x Políticas'!$S69</f>
        <v>0</v>
      </c>
      <c r="O69" s="213">
        <f>+'x Políticas'!R69*'x Políticas'!$S69</f>
        <v>0</v>
      </c>
      <c r="P69" s="322"/>
      <c r="Q69" s="77"/>
      <c r="R69" s="77"/>
      <c r="S69" s="323"/>
      <c r="T69" s="72"/>
      <c r="U69" s="326">
        <v>225000</v>
      </c>
      <c r="V69" s="73" t="s">
        <v>482</v>
      </c>
      <c r="W69" s="221">
        <v>0</v>
      </c>
      <c r="X69" s="327"/>
    </row>
    <row r="70" spans="1:24" ht="26.1" customHeight="1" x14ac:dyDescent="0.25">
      <c r="A70" s="144" t="s">
        <v>357</v>
      </c>
      <c r="B70" s="59" t="s">
        <v>490</v>
      </c>
      <c r="C70" s="145"/>
      <c r="D70" s="60"/>
      <c r="E70" s="143" t="s">
        <v>66</v>
      </c>
      <c r="F70" s="157">
        <f>SUM(F71:F73)</f>
        <v>11090.90909090909</v>
      </c>
      <c r="G70" s="152">
        <f>SUM(G71:G73)</f>
        <v>11090.90909090909</v>
      </c>
      <c r="H70" s="152">
        <f t="shared" ref="H70:N70" si="27">SUM(H71:H73)</f>
        <v>11090.90909090909</v>
      </c>
      <c r="I70" s="152">
        <f t="shared" si="27"/>
        <v>11090.90909090909</v>
      </c>
      <c r="J70" s="152">
        <f t="shared" si="27"/>
        <v>11090.90909090909</v>
      </c>
      <c r="K70" s="152">
        <f t="shared" si="27"/>
        <v>11090.90909090909</v>
      </c>
      <c r="L70" s="152">
        <f t="shared" si="27"/>
        <v>11090.90909090909</v>
      </c>
      <c r="M70" s="152">
        <f t="shared" si="27"/>
        <v>11090.90909090909</v>
      </c>
      <c r="N70" s="152">
        <f t="shared" si="27"/>
        <v>11090.90909090909</v>
      </c>
      <c r="O70" s="156">
        <f>SUM(F70:N70)</f>
        <v>99818.181818181809</v>
      </c>
      <c r="P70" s="157">
        <v>99818.181818181823</v>
      </c>
      <c r="Q70" s="145"/>
      <c r="R70" s="161">
        <v>0</v>
      </c>
      <c r="S70" s="159"/>
      <c r="T70" s="158"/>
      <c r="U70" s="160">
        <v>228500</v>
      </c>
      <c r="V70" s="145"/>
      <c r="W70" s="152">
        <v>9818.181818181818</v>
      </c>
      <c r="X70" s="151"/>
    </row>
    <row r="71" spans="1:24" ht="26.1" customHeight="1" x14ac:dyDescent="0.25">
      <c r="A71" s="205" t="s">
        <v>356</v>
      </c>
      <c r="B71" s="47" t="s">
        <v>4</v>
      </c>
      <c r="C71" s="48" t="s">
        <v>406</v>
      </c>
      <c r="D71" s="48" t="s">
        <v>63</v>
      </c>
      <c r="E71" s="204" t="s">
        <v>67</v>
      </c>
      <c r="F71" s="212">
        <f>+'x Políticas'!I71*'x Políticas'!$S71</f>
        <v>9454.545454545454</v>
      </c>
      <c r="G71" s="170">
        <f>+'x Políticas'!J71*'x Políticas'!$S71</f>
        <v>9454.545454545454</v>
      </c>
      <c r="H71" s="170">
        <f>+'x Políticas'!K71*'x Políticas'!$S71</f>
        <v>9454.545454545454</v>
      </c>
      <c r="I71" s="170">
        <f>+'x Políticas'!L71*'x Políticas'!$S71</f>
        <v>9454.545454545454</v>
      </c>
      <c r="J71" s="170">
        <f>+'x Políticas'!M71*'x Políticas'!$S71</f>
        <v>9454.545454545454</v>
      </c>
      <c r="K71" s="170">
        <f>+'x Políticas'!N71*'x Políticas'!$S71</f>
        <v>9454.545454545454</v>
      </c>
      <c r="L71" s="170">
        <f>+'x Políticas'!O71*'x Políticas'!$S71</f>
        <v>9454.545454545454</v>
      </c>
      <c r="M71" s="170">
        <f>+'x Políticas'!P71*'x Políticas'!$S71</f>
        <v>9454.545454545454</v>
      </c>
      <c r="N71" s="170">
        <f>+'x Políticas'!Q71*'x Políticas'!$S71</f>
        <v>9454.545454545454</v>
      </c>
      <c r="O71" s="213">
        <f>+'x Políticas'!R71*'x Políticas'!$S71</f>
        <v>85090.909090909088</v>
      </c>
      <c r="P71" s="242">
        <v>1</v>
      </c>
      <c r="Q71" s="48"/>
      <c r="R71" s="48"/>
      <c r="S71" s="243"/>
      <c r="T71" s="70"/>
      <c r="U71" s="220">
        <v>76000</v>
      </c>
      <c r="V71" s="71" t="s">
        <v>332</v>
      </c>
      <c r="W71" s="221">
        <v>9090.9090909090901</v>
      </c>
      <c r="X71" s="222"/>
    </row>
    <row r="72" spans="1:24" ht="26.1" customHeight="1" x14ac:dyDescent="0.25">
      <c r="A72" s="205" t="s">
        <v>357</v>
      </c>
      <c r="B72" s="423" t="s">
        <v>2</v>
      </c>
      <c r="C72" s="424" t="s">
        <v>403</v>
      </c>
      <c r="D72" s="77" t="s">
        <v>401</v>
      </c>
      <c r="E72" s="312" t="s">
        <v>68</v>
      </c>
      <c r="F72" s="337">
        <f>+'x Políticas'!I72*'x Políticas'!$S72</f>
        <v>0</v>
      </c>
      <c r="G72" s="272">
        <f>+'x Políticas'!J72*'x Políticas'!$S72</f>
        <v>0</v>
      </c>
      <c r="H72" s="272">
        <f>+'x Políticas'!K72*'x Políticas'!$S72</f>
        <v>0</v>
      </c>
      <c r="I72" s="272">
        <f>+'x Políticas'!L72*'x Políticas'!$S72</f>
        <v>0</v>
      </c>
      <c r="J72" s="272">
        <f>+'x Políticas'!M72*'x Políticas'!$S72</f>
        <v>0</v>
      </c>
      <c r="K72" s="272">
        <f>+'x Políticas'!N72*'x Políticas'!$S72</f>
        <v>0</v>
      </c>
      <c r="L72" s="272">
        <f>+'x Políticas'!O72*'x Políticas'!$S72</f>
        <v>0</v>
      </c>
      <c r="M72" s="272">
        <f>+'x Políticas'!P72*'x Políticas'!$S72</f>
        <v>0</v>
      </c>
      <c r="N72" s="272">
        <f>+'x Políticas'!Q72*'x Políticas'!$S72</f>
        <v>0</v>
      </c>
      <c r="O72" s="213">
        <f>+'x Políticas'!R72*'x Políticas'!$S72</f>
        <v>0</v>
      </c>
      <c r="P72" s="338"/>
      <c r="Q72" s="255"/>
      <c r="R72" s="255"/>
      <c r="S72" s="336"/>
      <c r="T72" s="338"/>
      <c r="U72" s="220">
        <v>138500</v>
      </c>
      <c r="V72" s="255" t="s">
        <v>485</v>
      </c>
      <c r="W72" s="221">
        <v>0</v>
      </c>
      <c r="X72" s="333"/>
    </row>
    <row r="73" spans="1:24" ht="26.1" customHeight="1" x14ac:dyDescent="0.25">
      <c r="A73" s="205" t="s">
        <v>357</v>
      </c>
      <c r="B73" s="47" t="s">
        <v>4</v>
      </c>
      <c r="C73" s="48" t="s">
        <v>406</v>
      </c>
      <c r="D73" s="48" t="s">
        <v>63</v>
      </c>
      <c r="E73" s="204" t="s">
        <v>69</v>
      </c>
      <c r="F73" s="212">
        <f>+'x Políticas'!I73*'x Políticas'!$S73</f>
        <v>1636.3636363636363</v>
      </c>
      <c r="G73" s="170">
        <f>+'x Políticas'!J73*'x Políticas'!$S73</f>
        <v>1636.3636363636363</v>
      </c>
      <c r="H73" s="170">
        <f>+'x Políticas'!K73*'x Políticas'!$S73</f>
        <v>1636.3636363636363</v>
      </c>
      <c r="I73" s="170">
        <f>+'x Políticas'!L73*'x Políticas'!$S73</f>
        <v>1636.3636363636363</v>
      </c>
      <c r="J73" s="170">
        <f>+'x Políticas'!M73*'x Políticas'!$S73</f>
        <v>1636.3636363636363</v>
      </c>
      <c r="K73" s="170">
        <f>+'x Políticas'!N73*'x Políticas'!$S73</f>
        <v>1636.3636363636363</v>
      </c>
      <c r="L73" s="170">
        <f>+'x Políticas'!O73*'x Políticas'!$S73</f>
        <v>1636.3636363636363</v>
      </c>
      <c r="M73" s="170">
        <f>+'x Políticas'!P73*'x Políticas'!$S73</f>
        <v>1636.3636363636363</v>
      </c>
      <c r="N73" s="170">
        <f>+'x Políticas'!Q73*'x Políticas'!$S73</f>
        <v>1636.3636363636363</v>
      </c>
      <c r="O73" s="213">
        <f>+'x Políticas'!R73*'x Políticas'!$S73</f>
        <v>14727.272727272728</v>
      </c>
      <c r="P73" s="242">
        <v>1</v>
      </c>
      <c r="Q73" s="48"/>
      <c r="R73" s="48"/>
      <c r="S73" s="243"/>
      <c r="T73" s="70"/>
      <c r="U73" s="220">
        <v>14000</v>
      </c>
      <c r="V73" s="71" t="s">
        <v>332</v>
      </c>
      <c r="W73" s="221">
        <v>727.27272727272725</v>
      </c>
      <c r="X73" s="222"/>
    </row>
    <row r="74" spans="1:24" ht="26.1" customHeight="1" x14ac:dyDescent="0.25">
      <c r="A74" s="144" t="s">
        <v>357</v>
      </c>
      <c r="B74" s="59" t="s">
        <v>1</v>
      </c>
      <c r="C74" s="145"/>
      <c r="D74" s="60"/>
      <c r="E74" s="143" t="s">
        <v>70</v>
      </c>
      <c r="F74" s="157">
        <f>SUM(F75)</f>
        <v>0</v>
      </c>
      <c r="G74" s="152">
        <f>SUM(G75)</f>
        <v>0</v>
      </c>
      <c r="H74" s="152">
        <f t="shared" ref="H74:N74" si="28">SUM(H75)</f>
        <v>0</v>
      </c>
      <c r="I74" s="152">
        <f t="shared" si="28"/>
        <v>0</v>
      </c>
      <c r="J74" s="152">
        <f t="shared" si="28"/>
        <v>0</v>
      </c>
      <c r="K74" s="152">
        <f t="shared" si="28"/>
        <v>0</v>
      </c>
      <c r="L74" s="152">
        <f t="shared" si="28"/>
        <v>0</v>
      </c>
      <c r="M74" s="152">
        <f t="shared" si="28"/>
        <v>0</v>
      </c>
      <c r="N74" s="152">
        <f t="shared" si="28"/>
        <v>0</v>
      </c>
      <c r="O74" s="156">
        <f>SUM(F74:N74)</f>
        <v>0</v>
      </c>
      <c r="P74" s="157">
        <v>0</v>
      </c>
      <c r="Q74" s="152"/>
      <c r="R74" s="152">
        <v>0</v>
      </c>
      <c r="S74" s="159"/>
      <c r="T74" s="158"/>
      <c r="U74" s="160">
        <v>18000</v>
      </c>
      <c r="V74" s="145"/>
      <c r="W74" s="161">
        <v>0</v>
      </c>
      <c r="X74" s="151"/>
    </row>
    <row r="75" spans="1:24" ht="26.1" customHeight="1" x14ac:dyDescent="0.25">
      <c r="A75" s="205" t="s">
        <v>357</v>
      </c>
      <c r="B75" s="47" t="s">
        <v>1</v>
      </c>
      <c r="C75" s="255"/>
      <c r="D75" s="77" t="s">
        <v>400</v>
      </c>
      <c r="E75" s="312" t="s">
        <v>71</v>
      </c>
      <c r="F75" s="337">
        <f>+'x Políticas'!I75*'x Políticas'!$S75</f>
        <v>0</v>
      </c>
      <c r="G75" s="272">
        <f>+'x Políticas'!J75*'x Políticas'!$S75</f>
        <v>0</v>
      </c>
      <c r="H75" s="272">
        <f>+'x Políticas'!K75*'x Políticas'!$S75</f>
        <v>0</v>
      </c>
      <c r="I75" s="272">
        <f>+'x Políticas'!L75*'x Políticas'!$S75</f>
        <v>0</v>
      </c>
      <c r="J75" s="272">
        <f>+'x Políticas'!M75*'x Políticas'!$S75</f>
        <v>0</v>
      </c>
      <c r="K75" s="272">
        <f>+'x Políticas'!N75*'x Políticas'!$S75</f>
        <v>0</v>
      </c>
      <c r="L75" s="272">
        <f>+'x Políticas'!O75*'x Políticas'!$S75</f>
        <v>0</v>
      </c>
      <c r="M75" s="272">
        <f>+'x Políticas'!P75*'x Políticas'!$S75</f>
        <v>0</v>
      </c>
      <c r="N75" s="272">
        <f>+'x Políticas'!Q75*'x Políticas'!$S75</f>
        <v>0</v>
      </c>
      <c r="O75" s="213">
        <f>+'x Políticas'!R75*'x Políticas'!$S75</f>
        <v>0</v>
      </c>
      <c r="P75" s="338"/>
      <c r="Q75" s="255"/>
      <c r="R75" s="255"/>
      <c r="S75" s="336"/>
      <c r="T75" s="338"/>
      <c r="U75" s="220">
        <v>18000</v>
      </c>
      <c r="V75" s="255" t="s">
        <v>351</v>
      </c>
      <c r="W75" s="221">
        <v>0</v>
      </c>
      <c r="X75" s="333"/>
    </row>
    <row r="76" spans="1:24" ht="26.1" customHeight="1" x14ac:dyDescent="0.25">
      <c r="A76" s="144" t="s">
        <v>356</v>
      </c>
      <c r="B76" s="59" t="s">
        <v>2</v>
      </c>
      <c r="C76" s="145"/>
      <c r="D76" s="60"/>
      <c r="E76" s="143" t="s">
        <v>72</v>
      </c>
      <c r="F76" s="157">
        <f>SUM(F77)</f>
        <v>0</v>
      </c>
      <c r="G76" s="152">
        <f>SUM(G77)</f>
        <v>0</v>
      </c>
      <c r="H76" s="152">
        <f t="shared" ref="H76:N76" si="29">SUM(H77)</f>
        <v>0</v>
      </c>
      <c r="I76" s="152">
        <f t="shared" si="29"/>
        <v>0</v>
      </c>
      <c r="J76" s="152">
        <f t="shared" si="29"/>
        <v>0</v>
      </c>
      <c r="K76" s="152">
        <f t="shared" si="29"/>
        <v>0</v>
      </c>
      <c r="L76" s="152">
        <f t="shared" si="29"/>
        <v>0</v>
      </c>
      <c r="M76" s="152">
        <f t="shared" si="29"/>
        <v>0</v>
      </c>
      <c r="N76" s="152">
        <f t="shared" si="29"/>
        <v>0</v>
      </c>
      <c r="O76" s="156">
        <f>SUM(F76:N76)</f>
        <v>0</v>
      </c>
      <c r="P76" s="157">
        <v>0</v>
      </c>
      <c r="Q76" s="152"/>
      <c r="R76" s="152">
        <v>0</v>
      </c>
      <c r="S76" s="159"/>
      <c r="T76" s="158"/>
      <c r="U76" s="160">
        <v>0</v>
      </c>
      <c r="V76" s="145"/>
      <c r="W76" s="161">
        <v>9000</v>
      </c>
      <c r="X76" s="151"/>
    </row>
    <row r="77" spans="1:24" ht="26.1" customHeight="1" x14ac:dyDescent="0.25">
      <c r="A77" s="205" t="s">
        <v>356</v>
      </c>
      <c r="B77" s="47" t="s">
        <v>2</v>
      </c>
      <c r="C77" s="48" t="s">
        <v>403</v>
      </c>
      <c r="D77" s="48" t="s">
        <v>393</v>
      </c>
      <c r="E77" s="204" t="s">
        <v>73</v>
      </c>
      <c r="F77" s="212">
        <f>+'x Políticas'!I77*'x Políticas'!$S77</f>
        <v>0</v>
      </c>
      <c r="G77" s="170">
        <f>+'x Políticas'!J77*'x Políticas'!$S77</f>
        <v>0</v>
      </c>
      <c r="H77" s="170">
        <f>+'x Políticas'!K77*'x Políticas'!$S77</f>
        <v>0</v>
      </c>
      <c r="I77" s="170">
        <f>+'x Políticas'!L77*'x Políticas'!$S77</f>
        <v>0</v>
      </c>
      <c r="J77" s="170">
        <f>+'x Políticas'!M77*'x Políticas'!$S77</f>
        <v>0</v>
      </c>
      <c r="K77" s="170">
        <f>+'x Políticas'!N77*'x Políticas'!$S77</f>
        <v>0</v>
      </c>
      <c r="L77" s="170">
        <f>+'x Políticas'!O77*'x Políticas'!$S77</f>
        <v>0</v>
      </c>
      <c r="M77" s="170">
        <f>+'x Políticas'!P77*'x Políticas'!$S77</f>
        <v>0</v>
      </c>
      <c r="N77" s="170">
        <f>+'x Políticas'!Q77*'x Políticas'!$S77</f>
        <v>0</v>
      </c>
      <c r="O77" s="213">
        <f>+'x Políticas'!R77*'x Políticas'!$S77</f>
        <v>0</v>
      </c>
      <c r="P77" s="245"/>
      <c r="Q77" s="48"/>
      <c r="R77" s="48"/>
      <c r="S77" s="243"/>
      <c r="T77" s="70"/>
      <c r="U77" s="71"/>
      <c r="V77" s="71"/>
      <c r="W77" s="221">
        <v>9000</v>
      </c>
      <c r="X77" s="222"/>
    </row>
    <row r="78" spans="1:24" ht="26.1" customHeight="1" x14ac:dyDescent="0.25">
      <c r="A78" s="144" t="s">
        <v>356</v>
      </c>
      <c r="B78" s="59" t="s">
        <v>491</v>
      </c>
      <c r="C78" s="145"/>
      <c r="D78" s="60"/>
      <c r="E78" s="143" t="s">
        <v>74</v>
      </c>
      <c r="F78" s="157">
        <f>SUM(F79:F81)</f>
        <v>32902.211302211304</v>
      </c>
      <c r="G78" s="152">
        <f>SUM(G79:G81)</f>
        <v>35193.120393120393</v>
      </c>
      <c r="H78" s="152">
        <f t="shared" ref="H78:N78" si="30">SUM(H79:H81)</f>
        <v>25695.0040950041</v>
      </c>
      <c r="I78" s="152">
        <f t="shared" si="30"/>
        <v>18487.796887796878</v>
      </c>
      <c r="J78" s="152">
        <f t="shared" si="30"/>
        <v>10135.135135135135</v>
      </c>
      <c r="K78" s="152">
        <f t="shared" si="30"/>
        <v>11280.589680589681</v>
      </c>
      <c r="L78" s="152">
        <f t="shared" si="30"/>
        <v>10135.135135135135</v>
      </c>
      <c r="M78" s="152">
        <f t="shared" si="30"/>
        <v>11280.589680589681</v>
      </c>
      <c r="N78" s="152">
        <f t="shared" si="30"/>
        <v>10135.135135135135</v>
      </c>
      <c r="O78" s="156">
        <f>SUM(F78:N78)</f>
        <v>165244.71744471748</v>
      </c>
      <c r="P78" s="157">
        <v>165244.71744471745</v>
      </c>
      <c r="Q78" s="145"/>
      <c r="R78" s="161">
        <v>1002846.1916461916</v>
      </c>
      <c r="S78" s="159"/>
      <c r="T78" s="158"/>
      <c r="U78" s="160">
        <v>1340000</v>
      </c>
      <c r="V78" s="145"/>
      <c r="W78" s="161">
        <v>340454.54545454547</v>
      </c>
      <c r="X78" s="151"/>
    </row>
    <row r="79" spans="1:24" ht="26.1" customHeight="1" x14ac:dyDescent="0.25">
      <c r="A79" s="205" t="s">
        <v>356</v>
      </c>
      <c r="B79" s="47" t="s">
        <v>6</v>
      </c>
      <c r="C79" s="335" t="s">
        <v>431</v>
      </c>
      <c r="D79" s="48" t="s">
        <v>76</v>
      </c>
      <c r="E79" s="204" t="s">
        <v>75</v>
      </c>
      <c r="F79" s="212">
        <f>+'x Políticas'!I79*'x Políticas'!$S79</f>
        <v>31756.75675675676</v>
      </c>
      <c r="G79" s="170">
        <f>+'x Políticas'!J79*'x Políticas'!$S79</f>
        <v>31756.75675675676</v>
      </c>
      <c r="H79" s="170">
        <f>+'x Políticas'!K79*'x Políticas'!$S79</f>
        <v>24549.549549549556</v>
      </c>
      <c r="I79" s="170">
        <f>+'x Políticas'!L79*'x Políticas'!$S79</f>
        <v>17342.342342342334</v>
      </c>
      <c r="J79" s="170">
        <f>+'x Políticas'!M79*'x Políticas'!$S79</f>
        <v>10135.135135135135</v>
      </c>
      <c r="K79" s="170">
        <f>+'x Políticas'!N79*'x Políticas'!$S79</f>
        <v>10135.135135135135</v>
      </c>
      <c r="L79" s="170">
        <f>+'x Políticas'!O79*'x Políticas'!$S79</f>
        <v>10135.135135135135</v>
      </c>
      <c r="M79" s="170">
        <f>+'x Políticas'!P79*'x Políticas'!$S79</f>
        <v>10135.135135135135</v>
      </c>
      <c r="N79" s="170">
        <f>+'x Políticas'!Q79*'x Políticas'!$S79</f>
        <v>10135.135135135135</v>
      </c>
      <c r="O79" s="213">
        <f>+'x Políticas'!R79*'x Políticas'!$S79</f>
        <v>156081.08108108109</v>
      </c>
      <c r="P79" s="330">
        <v>0.13513513513513514</v>
      </c>
      <c r="Q79" s="48" t="s">
        <v>424</v>
      </c>
      <c r="R79" s="341">
        <v>0.86486486486486491</v>
      </c>
      <c r="S79" s="216" t="s">
        <v>425</v>
      </c>
      <c r="T79" s="70"/>
      <c r="U79" s="220">
        <v>1102000</v>
      </c>
      <c r="V79" s="220" t="s">
        <v>426</v>
      </c>
      <c r="W79" s="221">
        <v>0</v>
      </c>
      <c r="X79" s="222"/>
    </row>
    <row r="80" spans="1:24" ht="26.1" customHeight="1" x14ac:dyDescent="0.25">
      <c r="A80" s="205"/>
      <c r="B80" s="47" t="s">
        <v>289</v>
      </c>
      <c r="C80" s="335" t="s">
        <v>432</v>
      </c>
      <c r="D80" s="48" t="s">
        <v>427</v>
      </c>
      <c r="E80" s="204" t="s">
        <v>433</v>
      </c>
      <c r="F80" s="212">
        <f>+'x Políticas'!I80*'x Políticas'!$S80</f>
        <v>0</v>
      </c>
      <c r="G80" s="170">
        <f>+'x Políticas'!J80*'x Políticas'!$S80</f>
        <v>0</v>
      </c>
      <c r="H80" s="170">
        <f>+'x Políticas'!K80*'x Políticas'!$S80</f>
        <v>0</v>
      </c>
      <c r="I80" s="170">
        <f>+'x Políticas'!L80*'x Políticas'!$S80</f>
        <v>0</v>
      </c>
      <c r="J80" s="170">
        <f>+'x Políticas'!M80*'x Políticas'!$S80</f>
        <v>0</v>
      </c>
      <c r="K80" s="170">
        <f>+'x Políticas'!N80*'x Políticas'!$S80</f>
        <v>0</v>
      </c>
      <c r="L80" s="170">
        <f>+'x Políticas'!O80*'x Políticas'!$S80</f>
        <v>0</v>
      </c>
      <c r="M80" s="170">
        <f>+'x Políticas'!P80*'x Políticas'!$S80</f>
        <v>0</v>
      </c>
      <c r="N80" s="170">
        <f>+'x Políticas'!Q80*'x Políticas'!$S80</f>
        <v>0</v>
      </c>
      <c r="O80" s="213">
        <f>+'x Políticas'!R80*'x Políticas'!$S80</f>
        <v>0</v>
      </c>
      <c r="P80" s="330">
        <v>0.13513513513513514</v>
      </c>
      <c r="Q80" s="48" t="s">
        <v>424</v>
      </c>
      <c r="R80" s="341">
        <v>0.86486486486486491</v>
      </c>
      <c r="S80" s="216" t="s">
        <v>429</v>
      </c>
      <c r="T80" s="70"/>
      <c r="U80" s="220">
        <v>238000</v>
      </c>
      <c r="V80" s="220" t="s">
        <v>430</v>
      </c>
      <c r="W80" s="221">
        <v>0</v>
      </c>
      <c r="X80" s="222"/>
    </row>
    <row r="81" spans="1:24" ht="26.1" customHeight="1" x14ac:dyDescent="0.25">
      <c r="A81" s="205" t="s">
        <v>357</v>
      </c>
      <c r="B81" s="47" t="s">
        <v>4</v>
      </c>
      <c r="C81" s="48" t="s">
        <v>404</v>
      </c>
      <c r="D81" s="48" t="s">
        <v>394</v>
      </c>
      <c r="E81" s="204" t="s">
        <v>77</v>
      </c>
      <c r="F81" s="212">
        <f>+'x Políticas'!I81*'x Políticas'!$S81</f>
        <v>1145.4545454545453</v>
      </c>
      <c r="G81" s="170">
        <f>+'x Políticas'!J81*'x Políticas'!$S81</f>
        <v>3436.363636363636</v>
      </c>
      <c r="H81" s="170">
        <f>+'x Políticas'!K81*'x Políticas'!$S81</f>
        <v>1145.4545454545453</v>
      </c>
      <c r="I81" s="170">
        <f>+'x Políticas'!L81*'x Políticas'!$S81</f>
        <v>1145.4545454545453</v>
      </c>
      <c r="J81" s="170">
        <f>+'x Políticas'!M81*'x Políticas'!$S81</f>
        <v>0</v>
      </c>
      <c r="K81" s="170">
        <f>+'x Políticas'!N81*'x Políticas'!$S81</f>
        <v>1145.4545454545453</v>
      </c>
      <c r="L81" s="170">
        <f>+'x Políticas'!O81*'x Políticas'!$S81</f>
        <v>0</v>
      </c>
      <c r="M81" s="170">
        <f>+'x Políticas'!P81*'x Políticas'!$S81</f>
        <v>1145.4545454545453</v>
      </c>
      <c r="N81" s="170">
        <f>+'x Políticas'!Q81*'x Políticas'!$S81</f>
        <v>0</v>
      </c>
      <c r="O81" s="213">
        <f>+'x Políticas'!R81*'x Políticas'!$S81</f>
        <v>9163.6363636363621</v>
      </c>
      <c r="P81" s="270">
        <v>0.7</v>
      </c>
      <c r="Q81" s="48"/>
      <c r="R81" s="215">
        <v>0.3</v>
      </c>
      <c r="S81" s="243" t="s">
        <v>386</v>
      </c>
      <c r="T81" s="70"/>
      <c r="U81" s="71"/>
      <c r="V81" s="71"/>
      <c r="W81" s="221">
        <v>340454.54545454547</v>
      </c>
      <c r="X81" s="222"/>
    </row>
    <row r="82" spans="1:24" ht="26.1" customHeight="1" x14ac:dyDescent="0.25">
      <c r="A82" s="144" t="s">
        <v>356</v>
      </c>
      <c r="B82" s="59" t="s">
        <v>2</v>
      </c>
      <c r="C82" s="145"/>
      <c r="D82" s="60"/>
      <c r="E82" s="143" t="s">
        <v>78</v>
      </c>
      <c r="F82" s="157">
        <f>SUM(F83:F84)</f>
        <v>0</v>
      </c>
      <c r="G82" s="152">
        <f>SUM(G83:G84)</f>
        <v>0</v>
      </c>
      <c r="H82" s="152">
        <f t="shared" ref="H82:N82" si="31">SUM(H83:H84)</f>
        <v>0</v>
      </c>
      <c r="I82" s="152">
        <f t="shared" si="31"/>
        <v>0</v>
      </c>
      <c r="J82" s="152">
        <f t="shared" si="31"/>
        <v>0</v>
      </c>
      <c r="K82" s="152">
        <f t="shared" si="31"/>
        <v>0</v>
      </c>
      <c r="L82" s="152">
        <f t="shared" si="31"/>
        <v>0</v>
      </c>
      <c r="M82" s="152">
        <f t="shared" si="31"/>
        <v>0</v>
      </c>
      <c r="N82" s="152">
        <f t="shared" si="31"/>
        <v>0</v>
      </c>
      <c r="O82" s="156">
        <f>SUM(F82:N82)</f>
        <v>0</v>
      </c>
      <c r="P82" s="157">
        <v>0</v>
      </c>
      <c r="Q82" s="152"/>
      <c r="R82" s="152">
        <v>0</v>
      </c>
      <c r="S82" s="159"/>
      <c r="T82" s="158"/>
      <c r="U82" s="160">
        <v>84000</v>
      </c>
      <c r="V82" s="145"/>
      <c r="W82" s="161">
        <v>24000</v>
      </c>
      <c r="X82" s="151"/>
    </row>
    <row r="83" spans="1:24" ht="26.1" customHeight="1" x14ac:dyDescent="0.25">
      <c r="A83" s="205" t="s">
        <v>356</v>
      </c>
      <c r="B83" s="47" t="s">
        <v>2</v>
      </c>
      <c r="C83" s="48" t="s">
        <v>403</v>
      </c>
      <c r="D83" s="48" t="s">
        <v>393</v>
      </c>
      <c r="E83" s="204" t="s">
        <v>79</v>
      </c>
      <c r="F83" s="212">
        <f>+'x Políticas'!I83*'x Políticas'!$S83</f>
        <v>0</v>
      </c>
      <c r="G83" s="170">
        <f>+'x Políticas'!J83*'x Políticas'!$S83</f>
        <v>0</v>
      </c>
      <c r="H83" s="170">
        <f>+'x Políticas'!K83*'x Políticas'!$S83</f>
        <v>0</v>
      </c>
      <c r="I83" s="170">
        <f>+'x Políticas'!L83*'x Políticas'!$S83</f>
        <v>0</v>
      </c>
      <c r="J83" s="170">
        <f>+'x Políticas'!M83*'x Políticas'!$S83</f>
        <v>0</v>
      </c>
      <c r="K83" s="170">
        <f>+'x Políticas'!N83*'x Políticas'!$S83</f>
        <v>0</v>
      </c>
      <c r="L83" s="170">
        <f>+'x Políticas'!O83*'x Políticas'!$S83</f>
        <v>0</v>
      </c>
      <c r="M83" s="170">
        <f>+'x Políticas'!P83*'x Políticas'!$S83</f>
        <v>0</v>
      </c>
      <c r="N83" s="170">
        <f>+'x Políticas'!Q83*'x Políticas'!$S83</f>
        <v>0</v>
      </c>
      <c r="O83" s="213">
        <f>+'x Políticas'!R83*'x Políticas'!$S83</f>
        <v>0</v>
      </c>
      <c r="P83" s="245"/>
      <c r="Q83" s="48"/>
      <c r="R83" s="48"/>
      <c r="S83" s="243"/>
      <c r="T83" s="70"/>
      <c r="U83" s="220">
        <v>52000</v>
      </c>
      <c r="V83" s="71"/>
      <c r="W83" s="221">
        <v>2000</v>
      </c>
      <c r="X83" s="222"/>
    </row>
    <row r="84" spans="1:24" ht="26.1" customHeight="1" x14ac:dyDescent="0.25">
      <c r="A84" s="205" t="s">
        <v>357</v>
      </c>
      <c r="B84" s="47" t="s">
        <v>2</v>
      </c>
      <c r="C84" s="48" t="s">
        <v>403</v>
      </c>
      <c r="D84" s="48" t="s">
        <v>393</v>
      </c>
      <c r="E84" s="204" t="s">
        <v>80</v>
      </c>
      <c r="F84" s="212">
        <f>+'x Políticas'!I84*'x Políticas'!$S84</f>
        <v>0</v>
      </c>
      <c r="G84" s="170">
        <f>+'x Políticas'!J84*'x Políticas'!$S84</f>
        <v>0</v>
      </c>
      <c r="H84" s="170">
        <f>+'x Políticas'!K84*'x Políticas'!$S84</f>
        <v>0</v>
      </c>
      <c r="I84" s="170">
        <f>+'x Políticas'!L84*'x Políticas'!$S84</f>
        <v>0</v>
      </c>
      <c r="J84" s="170">
        <f>+'x Políticas'!M84*'x Políticas'!$S84</f>
        <v>0</v>
      </c>
      <c r="K84" s="170">
        <f>+'x Políticas'!N84*'x Políticas'!$S84</f>
        <v>0</v>
      </c>
      <c r="L84" s="170">
        <f>+'x Políticas'!O84*'x Políticas'!$S84</f>
        <v>0</v>
      </c>
      <c r="M84" s="170">
        <f>+'x Políticas'!P84*'x Políticas'!$S84</f>
        <v>0</v>
      </c>
      <c r="N84" s="170">
        <f>+'x Políticas'!Q84*'x Políticas'!$S84</f>
        <v>0</v>
      </c>
      <c r="O84" s="213">
        <f>+'x Políticas'!R84*'x Políticas'!$S84</f>
        <v>0</v>
      </c>
      <c r="P84" s="245"/>
      <c r="Q84" s="48"/>
      <c r="R84" s="48"/>
      <c r="S84" s="243"/>
      <c r="T84" s="70"/>
      <c r="U84" s="220">
        <v>32000</v>
      </c>
      <c r="V84" s="71" t="s">
        <v>469</v>
      </c>
      <c r="W84" s="221">
        <v>22000</v>
      </c>
      <c r="X84" s="222"/>
    </row>
    <row r="85" spans="1:24" ht="26.1" customHeight="1" x14ac:dyDescent="0.25">
      <c r="A85" s="144" t="s">
        <v>357</v>
      </c>
      <c r="B85" s="59" t="s">
        <v>2</v>
      </c>
      <c r="C85" s="145"/>
      <c r="D85" s="60"/>
      <c r="E85" s="143" t="s">
        <v>82</v>
      </c>
      <c r="F85" s="157">
        <f>SUM(F86)</f>
        <v>0</v>
      </c>
      <c r="G85" s="152">
        <f>SUM(G86)</f>
        <v>0</v>
      </c>
      <c r="H85" s="152">
        <f t="shared" ref="H85:N85" si="32">SUM(H86)</f>
        <v>0</v>
      </c>
      <c r="I85" s="152">
        <f t="shared" si="32"/>
        <v>0</v>
      </c>
      <c r="J85" s="152">
        <f t="shared" si="32"/>
        <v>0</v>
      </c>
      <c r="K85" s="152">
        <f t="shared" si="32"/>
        <v>0</v>
      </c>
      <c r="L85" s="152">
        <f t="shared" si="32"/>
        <v>0</v>
      </c>
      <c r="M85" s="152">
        <f t="shared" si="32"/>
        <v>0</v>
      </c>
      <c r="N85" s="152">
        <f t="shared" si="32"/>
        <v>0</v>
      </c>
      <c r="O85" s="156">
        <f>SUM(F85:N85)</f>
        <v>0</v>
      </c>
      <c r="P85" s="157">
        <v>0</v>
      </c>
      <c r="Q85" s="152"/>
      <c r="R85" s="152">
        <v>0</v>
      </c>
      <c r="S85" s="159"/>
      <c r="T85" s="158"/>
      <c r="U85" s="160">
        <v>45000</v>
      </c>
      <c r="V85" s="145"/>
      <c r="W85" s="161">
        <v>0</v>
      </c>
      <c r="X85" s="151"/>
    </row>
    <row r="86" spans="1:24" ht="26.1" customHeight="1" x14ac:dyDescent="0.25">
      <c r="A86" s="205" t="s">
        <v>357</v>
      </c>
      <c r="B86" s="47" t="s">
        <v>2</v>
      </c>
      <c r="C86" s="48" t="s">
        <v>403</v>
      </c>
      <c r="D86" s="48" t="s">
        <v>393</v>
      </c>
      <c r="E86" s="204" t="s">
        <v>83</v>
      </c>
      <c r="F86" s="212">
        <f>+'x Políticas'!I86*'x Políticas'!$S86</f>
        <v>0</v>
      </c>
      <c r="G86" s="170">
        <f>+'x Políticas'!J86*'x Políticas'!$S86</f>
        <v>0</v>
      </c>
      <c r="H86" s="170">
        <f>+'x Políticas'!K86*'x Políticas'!$S86</f>
        <v>0</v>
      </c>
      <c r="I86" s="170">
        <f>+'x Políticas'!L86*'x Políticas'!$S86</f>
        <v>0</v>
      </c>
      <c r="J86" s="170">
        <f>+'x Políticas'!M86*'x Políticas'!$S86</f>
        <v>0</v>
      </c>
      <c r="K86" s="170">
        <f>+'x Políticas'!N86*'x Políticas'!$S86</f>
        <v>0</v>
      </c>
      <c r="L86" s="170">
        <f>+'x Políticas'!O86*'x Políticas'!$S86</f>
        <v>0</v>
      </c>
      <c r="M86" s="170">
        <f>+'x Políticas'!P86*'x Políticas'!$S86</f>
        <v>0</v>
      </c>
      <c r="N86" s="170">
        <f>+'x Políticas'!Q86*'x Políticas'!$S86</f>
        <v>0</v>
      </c>
      <c r="O86" s="213">
        <f>+'x Políticas'!R86*'x Políticas'!$S86</f>
        <v>0</v>
      </c>
      <c r="P86" s="245"/>
      <c r="Q86" s="48"/>
      <c r="R86" s="48"/>
      <c r="S86" s="243"/>
      <c r="T86" s="70"/>
      <c r="U86" s="220">
        <v>45000</v>
      </c>
      <c r="V86" s="71" t="s">
        <v>345</v>
      </c>
      <c r="W86" s="221">
        <v>0</v>
      </c>
      <c r="X86" s="222"/>
    </row>
    <row r="87" spans="1:24" ht="26.1" customHeight="1" x14ac:dyDescent="0.25">
      <c r="A87" s="144" t="s">
        <v>356</v>
      </c>
      <c r="B87" s="59" t="s">
        <v>490</v>
      </c>
      <c r="C87" s="145"/>
      <c r="D87" s="60"/>
      <c r="E87" s="143" t="s">
        <v>84</v>
      </c>
      <c r="F87" s="157">
        <f>SUM(F88:F90)</f>
        <v>40000</v>
      </c>
      <c r="G87" s="152">
        <f>SUM(G88:G90)</f>
        <v>40000</v>
      </c>
      <c r="H87" s="152">
        <f t="shared" ref="H87:N87" si="33">SUM(H88:H90)</f>
        <v>40000</v>
      </c>
      <c r="I87" s="152">
        <f t="shared" si="33"/>
        <v>40000</v>
      </c>
      <c r="J87" s="152">
        <f t="shared" si="33"/>
        <v>40000</v>
      </c>
      <c r="K87" s="152">
        <f t="shared" si="33"/>
        <v>40000</v>
      </c>
      <c r="L87" s="152">
        <f t="shared" si="33"/>
        <v>40000</v>
      </c>
      <c r="M87" s="152">
        <f t="shared" si="33"/>
        <v>40000</v>
      </c>
      <c r="N87" s="152">
        <f t="shared" si="33"/>
        <v>40000</v>
      </c>
      <c r="O87" s="156">
        <f>SUM(F87:N87)</f>
        <v>360000</v>
      </c>
      <c r="P87" s="157">
        <v>360000</v>
      </c>
      <c r="Q87" s="145"/>
      <c r="R87" s="161">
        <v>0</v>
      </c>
      <c r="S87" s="159"/>
      <c r="T87" s="158"/>
      <c r="U87" s="160">
        <v>270000</v>
      </c>
      <c r="V87" s="145"/>
      <c r="W87" s="152">
        <v>19090.909090909092</v>
      </c>
      <c r="X87" s="151"/>
    </row>
    <row r="88" spans="1:24" ht="26.1" customHeight="1" x14ac:dyDescent="0.25">
      <c r="A88" s="205" t="s">
        <v>356</v>
      </c>
      <c r="B88" s="47" t="s">
        <v>4</v>
      </c>
      <c r="C88" s="48" t="s">
        <v>404</v>
      </c>
      <c r="D88" s="48" t="s">
        <v>394</v>
      </c>
      <c r="E88" s="204" t="s">
        <v>470</v>
      </c>
      <c r="F88" s="212">
        <f>+'x Políticas'!I88*'x Políticas'!$S88</f>
        <v>40000</v>
      </c>
      <c r="G88" s="170">
        <f>+'x Políticas'!J88*'x Políticas'!$S88</f>
        <v>40000</v>
      </c>
      <c r="H88" s="170">
        <f>+'x Políticas'!K88*'x Políticas'!$S88</f>
        <v>40000</v>
      </c>
      <c r="I88" s="170">
        <f>+'x Políticas'!L88*'x Políticas'!$S88</f>
        <v>40000</v>
      </c>
      <c r="J88" s="170">
        <f>+'x Políticas'!M88*'x Políticas'!$S88</f>
        <v>40000</v>
      </c>
      <c r="K88" s="170">
        <f>+'x Políticas'!N88*'x Políticas'!$S88</f>
        <v>40000</v>
      </c>
      <c r="L88" s="170">
        <f>+'x Políticas'!O88*'x Políticas'!$S88</f>
        <v>40000</v>
      </c>
      <c r="M88" s="170">
        <f>+'x Políticas'!P88*'x Políticas'!$S88</f>
        <v>40000</v>
      </c>
      <c r="N88" s="170">
        <f>+'x Políticas'!Q88*'x Políticas'!$S88</f>
        <v>40000</v>
      </c>
      <c r="O88" s="213">
        <f>+'x Políticas'!R88*'x Políticas'!$S88</f>
        <v>360000</v>
      </c>
      <c r="P88" s="242">
        <v>1</v>
      </c>
      <c r="Q88" s="48"/>
      <c r="R88" s="48"/>
      <c r="S88" s="243"/>
      <c r="T88" s="70"/>
      <c r="U88" s="71"/>
      <c r="V88" s="71"/>
      <c r="W88" s="221">
        <v>119090.90909090909</v>
      </c>
      <c r="X88" s="222"/>
    </row>
    <row r="89" spans="1:24" ht="26.1" customHeight="1" x14ac:dyDescent="0.25">
      <c r="A89" s="205" t="s">
        <v>357</v>
      </c>
      <c r="B89" s="47" t="s">
        <v>1</v>
      </c>
      <c r="C89" s="50" t="s">
        <v>658</v>
      </c>
      <c r="D89" s="48" t="s">
        <v>87</v>
      </c>
      <c r="E89" s="312" t="s">
        <v>86</v>
      </c>
      <c r="F89" s="212">
        <f>+'x Políticas'!I89*'x Políticas'!$S89</f>
        <v>0</v>
      </c>
      <c r="G89" s="170">
        <f>+'x Políticas'!J89*'x Políticas'!$S89</f>
        <v>0</v>
      </c>
      <c r="H89" s="170">
        <f>+'x Políticas'!K89*'x Políticas'!$S89</f>
        <v>0</v>
      </c>
      <c r="I89" s="170">
        <f>+'x Políticas'!L89*'x Políticas'!$S89</f>
        <v>0</v>
      </c>
      <c r="J89" s="170">
        <f>+'x Políticas'!M89*'x Políticas'!$S89</f>
        <v>0</v>
      </c>
      <c r="K89" s="170">
        <f>+'x Políticas'!N89*'x Políticas'!$S89</f>
        <v>0</v>
      </c>
      <c r="L89" s="170">
        <f>+'x Políticas'!O89*'x Políticas'!$S89</f>
        <v>0</v>
      </c>
      <c r="M89" s="170">
        <f>+'x Políticas'!P89*'x Políticas'!$S89</f>
        <v>0</v>
      </c>
      <c r="N89" s="170">
        <f>+'x Políticas'!Q89*'x Políticas'!$S89</f>
        <v>0</v>
      </c>
      <c r="O89" s="213">
        <f>+'x Políticas'!R89*'x Políticas'!$S89</f>
        <v>0</v>
      </c>
      <c r="P89" s="338"/>
      <c r="Q89" s="255"/>
      <c r="R89" s="255"/>
      <c r="S89" s="336"/>
      <c r="T89" s="338"/>
      <c r="U89" s="220">
        <v>80000</v>
      </c>
      <c r="V89" s="255"/>
      <c r="W89" s="221">
        <v>0</v>
      </c>
      <c r="X89" s="333"/>
    </row>
    <row r="90" spans="1:24" ht="26.1" customHeight="1" x14ac:dyDescent="0.25">
      <c r="A90" s="205" t="s">
        <v>356</v>
      </c>
      <c r="B90" s="47" t="s">
        <v>2</v>
      </c>
      <c r="C90" s="48" t="s">
        <v>403</v>
      </c>
      <c r="D90" s="48" t="s">
        <v>393</v>
      </c>
      <c r="E90" s="204" t="s">
        <v>88</v>
      </c>
      <c r="F90" s="212">
        <f>+'x Políticas'!I90*'x Políticas'!$S90</f>
        <v>0</v>
      </c>
      <c r="G90" s="170">
        <f>+'x Políticas'!J90*'x Políticas'!$S90</f>
        <v>0</v>
      </c>
      <c r="H90" s="170">
        <f>+'x Políticas'!K90*'x Políticas'!$S90</f>
        <v>0</v>
      </c>
      <c r="I90" s="170">
        <f>+'x Políticas'!L90*'x Políticas'!$S90</f>
        <v>0</v>
      </c>
      <c r="J90" s="170">
        <f>+'x Políticas'!M90*'x Políticas'!$S90</f>
        <v>0</v>
      </c>
      <c r="K90" s="170">
        <f>+'x Políticas'!N90*'x Políticas'!$S90</f>
        <v>0</v>
      </c>
      <c r="L90" s="170">
        <f>+'x Políticas'!O90*'x Políticas'!$S90</f>
        <v>0</v>
      </c>
      <c r="M90" s="170">
        <f>+'x Políticas'!P90*'x Políticas'!$S90</f>
        <v>0</v>
      </c>
      <c r="N90" s="170">
        <f>+'x Políticas'!Q90*'x Políticas'!$S90</f>
        <v>0</v>
      </c>
      <c r="O90" s="213">
        <f>+'x Políticas'!R90*'x Políticas'!$S90</f>
        <v>0</v>
      </c>
      <c r="P90" s="245"/>
      <c r="Q90" s="48"/>
      <c r="R90" s="48"/>
      <c r="S90" s="243"/>
      <c r="T90" s="70"/>
      <c r="U90" s="220">
        <v>190000</v>
      </c>
      <c r="V90" s="71" t="s">
        <v>347</v>
      </c>
      <c r="W90" s="221">
        <v>-100000</v>
      </c>
      <c r="X90" s="222"/>
    </row>
    <row r="91" spans="1:24" ht="26.1" customHeight="1" x14ac:dyDescent="0.25">
      <c r="A91" s="144" t="s">
        <v>356</v>
      </c>
      <c r="B91" s="59" t="s">
        <v>2</v>
      </c>
      <c r="C91" s="145"/>
      <c r="D91" s="60"/>
      <c r="E91" s="143" t="s">
        <v>89</v>
      </c>
      <c r="F91" s="157">
        <f>SUM(F92:F94)</f>
        <v>0</v>
      </c>
      <c r="G91" s="152">
        <f>SUM(G92:G94)</f>
        <v>0</v>
      </c>
      <c r="H91" s="152">
        <f t="shared" ref="H91:N91" si="34">SUM(H92:H94)</f>
        <v>0</v>
      </c>
      <c r="I91" s="152">
        <f t="shared" si="34"/>
        <v>0</v>
      </c>
      <c r="J91" s="152">
        <f t="shared" si="34"/>
        <v>0</v>
      </c>
      <c r="K91" s="152">
        <f t="shared" si="34"/>
        <v>0</v>
      </c>
      <c r="L91" s="152">
        <f t="shared" si="34"/>
        <v>0</v>
      </c>
      <c r="M91" s="152">
        <f t="shared" si="34"/>
        <v>0</v>
      </c>
      <c r="N91" s="152">
        <f t="shared" si="34"/>
        <v>0</v>
      </c>
      <c r="O91" s="156">
        <f>SUM(F91:N91)</f>
        <v>0</v>
      </c>
      <c r="P91" s="157">
        <v>0</v>
      </c>
      <c r="Q91" s="145"/>
      <c r="R91" s="161">
        <v>0</v>
      </c>
      <c r="S91" s="159"/>
      <c r="T91" s="158"/>
      <c r="U91" s="160">
        <v>238000</v>
      </c>
      <c r="V91" s="145"/>
      <c r="W91" s="152">
        <v>646412.88194341084</v>
      </c>
      <c r="X91" s="151"/>
    </row>
    <row r="92" spans="1:24" ht="26.1" customHeight="1" x14ac:dyDescent="0.25">
      <c r="A92" s="205" t="s">
        <v>357</v>
      </c>
      <c r="B92" s="47" t="s">
        <v>2</v>
      </c>
      <c r="C92" s="48" t="s">
        <v>403</v>
      </c>
      <c r="D92" s="48" t="s">
        <v>393</v>
      </c>
      <c r="E92" s="204" t="s">
        <v>90</v>
      </c>
      <c r="F92" s="212">
        <f>+'x Políticas'!I92*'x Políticas'!$S92</f>
        <v>0</v>
      </c>
      <c r="G92" s="170">
        <f>+'x Políticas'!J92*'x Políticas'!$S92</f>
        <v>0</v>
      </c>
      <c r="H92" s="170">
        <f>+'x Políticas'!K92*'x Políticas'!$S92</f>
        <v>0</v>
      </c>
      <c r="I92" s="170">
        <f>+'x Políticas'!L92*'x Políticas'!$S92</f>
        <v>0</v>
      </c>
      <c r="J92" s="170">
        <f>+'x Políticas'!M92*'x Políticas'!$S92</f>
        <v>0</v>
      </c>
      <c r="K92" s="170">
        <f>+'x Políticas'!N92*'x Políticas'!$S92</f>
        <v>0</v>
      </c>
      <c r="L92" s="170">
        <f>+'x Políticas'!O92*'x Políticas'!$S92</f>
        <v>0</v>
      </c>
      <c r="M92" s="170">
        <f>+'x Políticas'!P92*'x Políticas'!$S92</f>
        <v>0</v>
      </c>
      <c r="N92" s="170">
        <f>+'x Políticas'!Q92*'x Políticas'!$S92</f>
        <v>0</v>
      </c>
      <c r="O92" s="213">
        <f>+'x Políticas'!R92*'x Políticas'!$S92</f>
        <v>0</v>
      </c>
      <c r="P92" s="245"/>
      <c r="Q92" s="48"/>
      <c r="R92" s="48"/>
      <c r="S92" s="243"/>
      <c r="T92" s="70"/>
      <c r="U92" s="71"/>
      <c r="V92" s="71"/>
      <c r="W92" s="221">
        <v>9000</v>
      </c>
      <c r="X92" s="222"/>
    </row>
    <row r="93" spans="1:24" ht="26.1" customHeight="1" x14ac:dyDescent="0.25">
      <c r="A93" s="205" t="s">
        <v>356</v>
      </c>
      <c r="B93" s="47" t="s">
        <v>2</v>
      </c>
      <c r="C93" s="48" t="s">
        <v>403</v>
      </c>
      <c r="D93" s="48" t="s">
        <v>393</v>
      </c>
      <c r="E93" s="204" t="s">
        <v>91</v>
      </c>
      <c r="F93" s="212">
        <f>+'x Políticas'!I93*'x Políticas'!$S93</f>
        <v>0</v>
      </c>
      <c r="G93" s="170">
        <f>+'x Políticas'!J93*'x Políticas'!$S93</f>
        <v>0</v>
      </c>
      <c r="H93" s="170">
        <f>+'x Políticas'!K93*'x Políticas'!$S93</f>
        <v>0</v>
      </c>
      <c r="I93" s="170">
        <f>+'x Políticas'!L93*'x Políticas'!$S93</f>
        <v>0</v>
      </c>
      <c r="J93" s="170">
        <f>+'x Políticas'!M93*'x Políticas'!$S93</f>
        <v>0</v>
      </c>
      <c r="K93" s="170">
        <f>+'x Políticas'!N93*'x Políticas'!$S93</f>
        <v>0</v>
      </c>
      <c r="L93" s="170">
        <f>+'x Políticas'!O93*'x Políticas'!$S93</f>
        <v>0</v>
      </c>
      <c r="M93" s="170">
        <f>+'x Políticas'!P93*'x Políticas'!$S93</f>
        <v>0</v>
      </c>
      <c r="N93" s="170">
        <f>+'x Políticas'!Q93*'x Políticas'!$S93</f>
        <v>0</v>
      </c>
      <c r="O93" s="213">
        <f>+'x Políticas'!R93*'x Políticas'!$S93</f>
        <v>0</v>
      </c>
      <c r="P93" s="245"/>
      <c r="Q93" s="48"/>
      <c r="R93" s="48"/>
      <c r="S93" s="243"/>
      <c r="T93" s="70"/>
      <c r="U93" s="71"/>
      <c r="V93" s="71"/>
      <c r="W93" s="221">
        <v>659412.88194341084</v>
      </c>
      <c r="X93" s="222"/>
    </row>
    <row r="94" spans="1:24" ht="26.1" customHeight="1" x14ac:dyDescent="0.25">
      <c r="A94" s="205" t="s">
        <v>356</v>
      </c>
      <c r="B94" s="47" t="s">
        <v>2</v>
      </c>
      <c r="C94" s="48" t="s">
        <v>403</v>
      </c>
      <c r="D94" s="48" t="s">
        <v>393</v>
      </c>
      <c r="E94" s="204" t="s">
        <v>466</v>
      </c>
      <c r="F94" s="212">
        <f>+'x Políticas'!I94*'x Políticas'!$S94</f>
        <v>0</v>
      </c>
      <c r="G94" s="170">
        <f>+'x Políticas'!J94*'x Políticas'!$S94</f>
        <v>0</v>
      </c>
      <c r="H94" s="170">
        <f>+'x Políticas'!K94*'x Políticas'!$S94</f>
        <v>0</v>
      </c>
      <c r="I94" s="170">
        <f>+'x Políticas'!L94*'x Políticas'!$S94</f>
        <v>0</v>
      </c>
      <c r="J94" s="170">
        <f>+'x Políticas'!M94*'x Políticas'!$S94</f>
        <v>0</v>
      </c>
      <c r="K94" s="170">
        <f>+'x Políticas'!N94*'x Políticas'!$S94</f>
        <v>0</v>
      </c>
      <c r="L94" s="170">
        <f>+'x Políticas'!O94*'x Políticas'!$S94</f>
        <v>0</v>
      </c>
      <c r="M94" s="170">
        <f>+'x Políticas'!P94*'x Políticas'!$S94</f>
        <v>0</v>
      </c>
      <c r="N94" s="170">
        <f>+'x Políticas'!Q94*'x Políticas'!$S94</f>
        <v>0</v>
      </c>
      <c r="O94" s="213">
        <f>+'x Políticas'!R94*'x Políticas'!$S94</f>
        <v>0</v>
      </c>
      <c r="P94" s="245"/>
      <c r="Q94" s="48"/>
      <c r="R94" s="48"/>
      <c r="S94" s="243"/>
      <c r="T94" s="70"/>
      <c r="U94" s="220">
        <v>238000</v>
      </c>
      <c r="V94" s="71" t="s">
        <v>351</v>
      </c>
      <c r="W94" s="221">
        <v>-22000</v>
      </c>
      <c r="X94" s="222"/>
    </row>
    <row r="95" spans="1:24" ht="26.1" customHeight="1" x14ac:dyDescent="0.25">
      <c r="A95" s="144" t="s">
        <v>356</v>
      </c>
      <c r="B95" s="59" t="s">
        <v>2</v>
      </c>
      <c r="C95" s="145"/>
      <c r="D95" s="60"/>
      <c r="E95" s="143" t="s">
        <v>93</v>
      </c>
      <c r="F95" s="157">
        <f>SUM(F96)</f>
        <v>0</v>
      </c>
      <c r="G95" s="152">
        <f>SUM(G96)</f>
        <v>0</v>
      </c>
      <c r="H95" s="152">
        <f t="shared" ref="H95:N95" si="35">SUM(H96)</f>
        <v>0</v>
      </c>
      <c r="I95" s="152">
        <f t="shared" si="35"/>
        <v>0</v>
      </c>
      <c r="J95" s="152">
        <f t="shared" si="35"/>
        <v>0</v>
      </c>
      <c r="K95" s="152">
        <f t="shared" si="35"/>
        <v>0</v>
      </c>
      <c r="L95" s="152">
        <f t="shared" si="35"/>
        <v>0</v>
      </c>
      <c r="M95" s="152">
        <f t="shared" si="35"/>
        <v>0</v>
      </c>
      <c r="N95" s="152">
        <f t="shared" si="35"/>
        <v>0</v>
      </c>
      <c r="O95" s="156">
        <f>SUM(F95:N95)</f>
        <v>0</v>
      </c>
      <c r="P95" s="157">
        <v>0</v>
      </c>
      <c r="Q95" s="152"/>
      <c r="R95" s="152">
        <v>0</v>
      </c>
      <c r="S95" s="159"/>
      <c r="T95" s="158"/>
      <c r="U95" s="160">
        <v>0</v>
      </c>
      <c r="V95" s="145"/>
      <c r="W95" s="161">
        <v>155000</v>
      </c>
      <c r="X95" s="151"/>
    </row>
    <row r="96" spans="1:24" ht="26.1" customHeight="1" x14ac:dyDescent="0.25">
      <c r="A96" s="205" t="s">
        <v>356</v>
      </c>
      <c r="B96" s="47" t="s">
        <v>2</v>
      </c>
      <c r="C96" s="48" t="s">
        <v>403</v>
      </c>
      <c r="D96" s="48" t="s">
        <v>393</v>
      </c>
      <c r="E96" s="204" t="s">
        <v>94</v>
      </c>
      <c r="F96" s="212">
        <f>+'x Políticas'!I96*'x Políticas'!$S96</f>
        <v>0</v>
      </c>
      <c r="G96" s="170">
        <f>+'x Políticas'!J96*'x Políticas'!$S96</f>
        <v>0</v>
      </c>
      <c r="H96" s="170">
        <f>+'x Políticas'!K96*'x Políticas'!$S96</f>
        <v>0</v>
      </c>
      <c r="I96" s="170">
        <f>+'x Políticas'!L96*'x Políticas'!$S96</f>
        <v>0</v>
      </c>
      <c r="J96" s="170">
        <f>+'x Políticas'!M96*'x Políticas'!$S96</f>
        <v>0</v>
      </c>
      <c r="K96" s="170">
        <f>+'x Políticas'!N96*'x Políticas'!$S96</f>
        <v>0</v>
      </c>
      <c r="L96" s="170">
        <f>+'x Políticas'!O96*'x Políticas'!$S96</f>
        <v>0</v>
      </c>
      <c r="M96" s="170">
        <f>+'x Políticas'!P96*'x Políticas'!$S96</f>
        <v>0</v>
      </c>
      <c r="N96" s="170">
        <f>+'x Políticas'!Q96*'x Políticas'!$S96</f>
        <v>0</v>
      </c>
      <c r="O96" s="213">
        <f>+'x Políticas'!R96*'x Políticas'!$S96</f>
        <v>0</v>
      </c>
      <c r="P96" s="245"/>
      <c r="Q96" s="48"/>
      <c r="R96" s="48"/>
      <c r="S96" s="243"/>
      <c r="T96" s="70"/>
      <c r="U96" s="76"/>
      <c r="V96" s="76"/>
      <c r="W96" s="221">
        <v>155000</v>
      </c>
      <c r="X96" s="222"/>
    </row>
    <row r="97" spans="1:24" ht="26.1" customHeight="1" x14ac:dyDescent="0.25">
      <c r="A97" s="144" t="s">
        <v>355</v>
      </c>
      <c r="B97" s="59" t="s">
        <v>2</v>
      </c>
      <c r="C97" s="145"/>
      <c r="D97" s="60"/>
      <c r="E97" s="143" t="s">
        <v>95</v>
      </c>
      <c r="F97" s="157">
        <f>SUM(F98)</f>
        <v>0</v>
      </c>
      <c r="G97" s="152">
        <f>SUM(G98)</f>
        <v>0</v>
      </c>
      <c r="H97" s="152">
        <f t="shared" ref="H97:N97" si="36">SUM(H98)</f>
        <v>0</v>
      </c>
      <c r="I97" s="152">
        <f t="shared" si="36"/>
        <v>0</v>
      </c>
      <c r="J97" s="152">
        <f t="shared" si="36"/>
        <v>0</v>
      </c>
      <c r="K97" s="152">
        <f t="shared" si="36"/>
        <v>0</v>
      </c>
      <c r="L97" s="152">
        <f t="shared" si="36"/>
        <v>0</v>
      </c>
      <c r="M97" s="152">
        <f t="shared" si="36"/>
        <v>0</v>
      </c>
      <c r="N97" s="152">
        <f t="shared" si="36"/>
        <v>0</v>
      </c>
      <c r="O97" s="156">
        <f>SUM(F97:N97)</f>
        <v>0</v>
      </c>
      <c r="P97" s="157">
        <v>0</v>
      </c>
      <c r="Q97" s="152"/>
      <c r="R97" s="152">
        <v>0</v>
      </c>
      <c r="S97" s="159"/>
      <c r="T97" s="158"/>
      <c r="U97" s="160">
        <v>0</v>
      </c>
      <c r="V97" s="145"/>
      <c r="W97" s="161">
        <v>37500</v>
      </c>
      <c r="X97" s="151"/>
    </row>
    <row r="98" spans="1:24" ht="26.1" customHeight="1" x14ac:dyDescent="0.25">
      <c r="A98" s="205" t="s">
        <v>355</v>
      </c>
      <c r="B98" s="47" t="s">
        <v>2</v>
      </c>
      <c r="C98" s="48" t="s">
        <v>403</v>
      </c>
      <c r="D98" s="48" t="s">
        <v>393</v>
      </c>
      <c r="E98" s="204" t="s">
        <v>96</v>
      </c>
      <c r="F98" s="212">
        <f>+'x Políticas'!I98*'x Políticas'!$S98</f>
        <v>0</v>
      </c>
      <c r="G98" s="170">
        <f>+'x Políticas'!J98*'x Políticas'!$S98</f>
        <v>0</v>
      </c>
      <c r="H98" s="170">
        <f>+'x Políticas'!K98*'x Políticas'!$S98</f>
        <v>0</v>
      </c>
      <c r="I98" s="170">
        <f>+'x Políticas'!L98*'x Políticas'!$S98</f>
        <v>0</v>
      </c>
      <c r="J98" s="170">
        <f>+'x Políticas'!M98*'x Políticas'!$S98</f>
        <v>0</v>
      </c>
      <c r="K98" s="170">
        <f>+'x Políticas'!N98*'x Políticas'!$S98</f>
        <v>0</v>
      </c>
      <c r="L98" s="170">
        <f>+'x Políticas'!O98*'x Políticas'!$S98</f>
        <v>0</v>
      </c>
      <c r="M98" s="170">
        <f>+'x Políticas'!P98*'x Políticas'!$S98</f>
        <v>0</v>
      </c>
      <c r="N98" s="170">
        <f>+'x Políticas'!Q98*'x Políticas'!$S98</f>
        <v>0</v>
      </c>
      <c r="O98" s="213">
        <f>+'x Políticas'!R98*'x Políticas'!$S98</f>
        <v>0</v>
      </c>
      <c r="P98" s="245"/>
      <c r="Q98" s="48"/>
      <c r="R98" s="48"/>
      <c r="S98" s="243"/>
      <c r="T98" s="70"/>
      <c r="U98" s="71"/>
      <c r="V98" s="71"/>
      <c r="W98" s="221">
        <v>37500</v>
      </c>
      <c r="X98" s="222"/>
    </row>
    <row r="99" spans="1:24" ht="26.1" customHeight="1" x14ac:dyDescent="0.25"/>
    <row r="100" spans="1:24" ht="26.1" customHeight="1" x14ac:dyDescent="0.25">
      <c r="E100" s="98" t="s">
        <v>502</v>
      </c>
      <c r="F100" s="114">
        <v>2017</v>
      </c>
      <c r="G100" s="115">
        <v>2018</v>
      </c>
      <c r="H100" s="115">
        <v>2019</v>
      </c>
      <c r="I100" s="115">
        <v>2020</v>
      </c>
      <c r="J100" s="115">
        <v>2021</v>
      </c>
      <c r="K100" s="115">
        <v>2022</v>
      </c>
      <c r="L100" s="115">
        <v>2023</v>
      </c>
      <c r="M100" s="115">
        <v>2024</v>
      </c>
      <c r="N100" s="115">
        <v>2025</v>
      </c>
    </row>
    <row r="101" spans="1:24" ht="26.1" customHeight="1" x14ac:dyDescent="0.25">
      <c r="E101" s="97" t="s">
        <v>503</v>
      </c>
      <c r="F101" s="417">
        <f>+F4+F25+F36+F54+F65</f>
        <v>45203373.16951783</v>
      </c>
      <c r="G101" s="417">
        <f t="shared" ref="G101:N101" si="37">+G4+G25+G36+G54+G65</f>
        <v>54596694.069960661</v>
      </c>
      <c r="H101" s="417">
        <f t="shared" si="37"/>
        <v>46532684.284536928</v>
      </c>
      <c r="I101" s="417">
        <f t="shared" si="37"/>
        <v>49085953.389928594</v>
      </c>
      <c r="J101" s="417">
        <f t="shared" si="37"/>
        <v>49435206.474807039</v>
      </c>
      <c r="K101" s="417">
        <f t="shared" si="37"/>
        <v>50143195.523445189</v>
      </c>
      <c r="L101" s="417">
        <f t="shared" si="37"/>
        <v>52742471.877415359</v>
      </c>
      <c r="M101" s="417">
        <f t="shared" si="37"/>
        <v>55052441.945179604</v>
      </c>
      <c r="N101" s="417">
        <f t="shared" si="37"/>
        <v>57841561.521186426</v>
      </c>
      <c r="O101" s="381">
        <f>SUM(F101:N101)</f>
        <v>460633582.25597757</v>
      </c>
    </row>
    <row r="102" spans="1:24" ht="26.1" customHeight="1" x14ac:dyDescent="0.25">
      <c r="A102" s="351"/>
      <c r="E102" s="97" t="s">
        <v>504</v>
      </c>
      <c r="F102" s="417">
        <f>+F109+F130+F141+F159+F170</f>
        <v>3500036.2206016877</v>
      </c>
      <c r="G102" s="417">
        <f t="shared" ref="G102:N102" si="38">+G109+G130+G141+G159+G170</f>
        <v>7954517.5950348489</v>
      </c>
      <c r="H102" s="417">
        <f t="shared" si="38"/>
        <v>7440955.4913462484</v>
      </c>
      <c r="I102" s="417">
        <f t="shared" si="38"/>
        <v>7206931.5157685662</v>
      </c>
      <c r="J102" s="417">
        <f t="shared" si="38"/>
        <v>7195191.8889739783</v>
      </c>
      <c r="K102" s="417">
        <f t="shared" si="38"/>
        <v>7259359.9611270754</v>
      </c>
      <c r="L102" s="417">
        <f t="shared" si="38"/>
        <v>7415057.0650699195</v>
      </c>
      <c r="M102" s="417">
        <f t="shared" si="38"/>
        <v>7585407.3870577272</v>
      </c>
      <c r="N102" s="417">
        <f t="shared" si="38"/>
        <v>7763262.9087812919</v>
      </c>
      <c r="O102" s="381">
        <f>SUM(F102:N102)</f>
        <v>63320720.033761345</v>
      </c>
    </row>
    <row r="103" spans="1:24" ht="26.1" customHeight="1" x14ac:dyDescent="0.25">
      <c r="A103" s="364"/>
      <c r="B103" s="93"/>
      <c r="C103" s="93"/>
      <c r="D103" s="93"/>
      <c r="E103" s="97" t="s">
        <v>501</v>
      </c>
      <c r="F103" s="272">
        <v>4773500</v>
      </c>
      <c r="G103" s="272">
        <v>806500</v>
      </c>
      <c r="H103" s="255"/>
      <c r="I103" s="255"/>
      <c r="J103" s="255"/>
      <c r="K103" s="255"/>
      <c r="L103" s="255"/>
      <c r="M103" s="255"/>
      <c r="N103" s="255"/>
      <c r="O103" s="381">
        <f>SUM(F103:N103)</f>
        <v>5580000</v>
      </c>
    </row>
    <row r="104" spans="1:24" ht="26.1" customHeight="1" x14ac:dyDescent="0.25">
      <c r="A104" s="364"/>
      <c r="B104" s="93"/>
      <c r="C104" s="93"/>
      <c r="D104" s="93"/>
      <c r="E104" s="418" t="s">
        <v>493</v>
      </c>
      <c r="F104" s="419">
        <f>SUM(F101:F103)</f>
        <v>53476909.390119515</v>
      </c>
      <c r="G104" s="419">
        <f t="shared" ref="G104:N104" si="39">SUM(G101:G103)</f>
        <v>63357711.664995506</v>
      </c>
      <c r="H104" s="419">
        <f t="shared" si="39"/>
        <v>53973639.775883175</v>
      </c>
      <c r="I104" s="419">
        <f t="shared" si="39"/>
        <v>56292884.905697159</v>
      </c>
      <c r="J104" s="419">
        <f t="shared" si="39"/>
        <v>56630398.36378102</v>
      </c>
      <c r="K104" s="419">
        <f t="shared" si="39"/>
        <v>57402555.484572262</v>
      </c>
      <c r="L104" s="419">
        <f t="shared" si="39"/>
        <v>60157528.94248528</v>
      </c>
      <c r="M104" s="419">
        <f t="shared" si="39"/>
        <v>62637849.332237333</v>
      </c>
      <c r="N104" s="419">
        <f t="shared" si="39"/>
        <v>65604824.429967716</v>
      </c>
      <c r="O104" s="381">
        <f>SUM(F104:N104)</f>
        <v>529534302.28973895</v>
      </c>
    </row>
    <row r="105" spans="1:24" ht="26.1" customHeight="1" x14ac:dyDescent="0.25">
      <c r="A105" s="412"/>
      <c r="B105" s="93"/>
      <c r="D105" s="96"/>
    </row>
    <row r="106" spans="1:24" ht="24" thickBot="1" x14ac:dyDescent="0.3">
      <c r="A106" s="416" t="s">
        <v>500</v>
      </c>
    </row>
    <row r="107" spans="1:24" ht="31.5" x14ac:dyDescent="0.25">
      <c r="A107" s="372" t="s">
        <v>354</v>
      </c>
      <c r="B107" s="567" t="s">
        <v>0</v>
      </c>
      <c r="C107" s="568"/>
      <c r="D107" s="568"/>
      <c r="E107" s="598" t="s">
        <v>416</v>
      </c>
      <c r="F107" s="583" t="s">
        <v>276</v>
      </c>
      <c r="G107" s="584"/>
      <c r="H107" s="584"/>
      <c r="I107" s="584"/>
      <c r="J107" s="584"/>
      <c r="K107" s="584"/>
      <c r="L107" s="584"/>
      <c r="M107" s="584"/>
      <c r="N107" s="584"/>
      <c r="O107" s="585"/>
      <c r="P107" s="584" t="s">
        <v>277</v>
      </c>
      <c r="Q107" s="584"/>
      <c r="R107" s="584"/>
      <c r="S107" s="584"/>
      <c r="T107" s="583" t="s">
        <v>280</v>
      </c>
      <c r="U107" s="584"/>
      <c r="V107" s="584"/>
      <c r="W107" s="584"/>
      <c r="X107" s="586"/>
    </row>
    <row r="108" spans="1:24" ht="55.5" customHeight="1" x14ac:dyDescent="0.25">
      <c r="A108" s="373"/>
      <c r="B108" s="107" t="s">
        <v>143</v>
      </c>
      <c r="C108" s="108" t="s">
        <v>417</v>
      </c>
      <c r="D108" s="108" t="s">
        <v>418</v>
      </c>
      <c r="E108" s="599"/>
      <c r="F108" s="114">
        <v>2017</v>
      </c>
      <c r="G108" s="115">
        <v>2018</v>
      </c>
      <c r="H108" s="115">
        <v>2019</v>
      </c>
      <c r="I108" s="115">
        <v>2020</v>
      </c>
      <c r="J108" s="115">
        <v>2021</v>
      </c>
      <c r="K108" s="115">
        <v>2022</v>
      </c>
      <c r="L108" s="115">
        <v>2023</v>
      </c>
      <c r="M108" s="115">
        <v>2024</v>
      </c>
      <c r="N108" s="115">
        <v>2025</v>
      </c>
      <c r="O108" s="116" t="s">
        <v>292</v>
      </c>
      <c r="P108" s="117" t="s">
        <v>293</v>
      </c>
      <c r="Q108" s="115" t="s">
        <v>294</v>
      </c>
      <c r="R108" s="115" t="s">
        <v>295</v>
      </c>
      <c r="S108" s="118" t="s">
        <v>296</v>
      </c>
      <c r="T108" s="114" t="s">
        <v>298</v>
      </c>
      <c r="U108" s="115" t="s">
        <v>299</v>
      </c>
      <c r="V108" s="115" t="s">
        <v>300</v>
      </c>
      <c r="W108" s="115" t="s">
        <v>305</v>
      </c>
      <c r="X108" s="122" t="s">
        <v>306</v>
      </c>
    </row>
    <row r="109" spans="1:24" ht="16.5" x14ac:dyDescent="0.25">
      <c r="A109" s="99"/>
      <c r="B109" s="125"/>
      <c r="C109" s="126"/>
      <c r="D109" s="127"/>
      <c r="E109" s="98" t="s">
        <v>7</v>
      </c>
      <c r="F109" s="136">
        <f>+F110+F116+F118+F121+F124+F126+F128</f>
        <v>0</v>
      </c>
      <c r="G109" s="133">
        <f>+G110+G116+G118+G121+G124+G126+G128</f>
        <v>3750545.4545454546</v>
      </c>
      <c r="H109" s="133">
        <f t="shared" ref="H109:N109" si="40">+H110+H116+H118+H121+H124+H126+H128</f>
        <v>3750545.4545454546</v>
      </c>
      <c r="I109" s="133">
        <f t="shared" si="40"/>
        <v>3750545.4545454546</v>
      </c>
      <c r="J109" s="133">
        <f t="shared" si="40"/>
        <v>3750545.4545454546</v>
      </c>
      <c r="K109" s="133">
        <f t="shared" si="40"/>
        <v>3750545.4545454546</v>
      </c>
      <c r="L109" s="133">
        <f t="shared" si="40"/>
        <v>3750545.4545454546</v>
      </c>
      <c r="M109" s="133">
        <f t="shared" si="40"/>
        <v>3750545.4545454546</v>
      </c>
      <c r="N109" s="133">
        <f t="shared" si="40"/>
        <v>3750545.4545454546</v>
      </c>
      <c r="O109" s="137">
        <f>SUM(F109:N109)</f>
        <v>30004363.636363633</v>
      </c>
      <c r="P109" s="136">
        <v>7307870.7142848158</v>
      </c>
      <c r="Q109" s="133"/>
      <c r="R109" s="133">
        <v>30004363.636363637</v>
      </c>
      <c r="S109" s="139"/>
      <c r="T109" s="138"/>
      <c r="U109" s="140">
        <v>1069000</v>
      </c>
      <c r="V109" s="126"/>
      <c r="W109" s="141">
        <v>13267217.338337235</v>
      </c>
      <c r="X109" s="132"/>
    </row>
    <row r="110" spans="1:24" ht="25.5" x14ac:dyDescent="0.25">
      <c r="A110" s="144" t="s">
        <v>355</v>
      </c>
      <c r="B110" s="59" t="s">
        <v>488</v>
      </c>
      <c r="C110" s="145"/>
      <c r="D110" s="146"/>
      <c r="E110" s="143" t="s">
        <v>486</v>
      </c>
      <c r="F110" s="157">
        <f>SUM(F111:F114)</f>
        <v>0</v>
      </c>
      <c r="G110" s="152">
        <f>SUM(G111:G114)</f>
        <v>3750545.4545454546</v>
      </c>
      <c r="H110" s="152">
        <f t="shared" ref="H110:N110" si="41">SUM(H111:H114)</f>
        <v>3750545.4545454546</v>
      </c>
      <c r="I110" s="152">
        <f t="shared" si="41"/>
        <v>3750545.4545454546</v>
      </c>
      <c r="J110" s="152">
        <f t="shared" si="41"/>
        <v>3750545.4545454546</v>
      </c>
      <c r="K110" s="152">
        <f t="shared" si="41"/>
        <v>3750545.4545454546</v>
      </c>
      <c r="L110" s="152">
        <f t="shared" si="41"/>
        <v>3750545.4545454546</v>
      </c>
      <c r="M110" s="152">
        <f t="shared" si="41"/>
        <v>3750545.4545454546</v>
      </c>
      <c r="N110" s="152">
        <f t="shared" si="41"/>
        <v>3750545.4545454546</v>
      </c>
      <c r="O110" s="156">
        <f>SUM(F110:N110)</f>
        <v>30004363.636363633</v>
      </c>
      <c r="P110" s="380">
        <v>7229397.4646625891</v>
      </c>
      <c r="Q110" s="145"/>
      <c r="R110" s="161">
        <v>30004363.636363637</v>
      </c>
      <c r="S110" s="159"/>
      <c r="T110" s="158"/>
      <c r="U110" s="160">
        <v>0</v>
      </c>
      <c r="V110" s="145"/>
      <c r="W110" s="161">
        <v>12955069.339008832</v>
      </c>
      <c r="X110" s="151"/>
    </row>
    <row r="111" spans="1:24" ht="26.1" customHeight="1" x14ac:dyDescent="0.25">
      <c r="A111" s="164" t="s">
        <v>355</v>
      </c>
      <c r="B111" s="74" t="s">
        <v>9</v>
      </c>
      <c r="C111" s="75" t="s">
        <v>402</v>
      </c>
      <c r="D111" s="75" t="s">
        <v>373</v>
      </c>
      <c r="E111" s="163" t="s">
        <v>374</v>
      </c>
      <c r="F111" s="173">
        <f>+'x Políticas'!I6*'x Políticas'!$U6</f>
        <v>0</v>
      </c>
      <c r="G111" s="174">
        <f>+'x Políticas'!J6*'x Políticas'!$U6</f>
        <v>3750000</v>
      </c>
      <c r="H111" s="174">
        <f>+'x Políticas'!K6*'x Políticas'!$U6</f>
        <v>3750000</v>
      </c>
      <c r="I111" s="174">
        <f>+'x Políticas'!L6*'x Políticas'!$U6</f>
        <v>3750000</v>
      </c>
      <c r="J111" s="174">
        <f>+'x Políticas'!M6*'x Políticas'!$U6</f>
        <v>3750000</v>
      </c>
      <c r="K111" s="174">
        <f>+'x Políticas'!N6*'x Políticas'!$U6</f>
        <v>3750000</v>
      </c>
      <c r="L111" s="174">
        <f>+'x Políticas'!O6*'x Políticas'!$U6</f>
        <v>3750000</v>
      </c>
      <c r="M111" s="174">
        <f>+'x Políticas'!P6*'x Políticas'!$U6</f>
        <v>3750000</v>
      </c>
      <c r="N111" s="174">
        <f>+'x Políticas'!Q6*'x Políticas'!$U6</f>
        <v>3750000</v>
      </c>
      <c r="O111" s="175">
        <f>+'x Políticas'!R6*'x Políticas'!$U6</f>
        <v>30000000</v>
      </c>
      <c r="P111" s="176"/>
      <c r="Q111" s="75"/>
      <c r="R111" s="177">
        <v>1</v>
      </c>
      <c r="S111" s="178" t="s">
        <v>383</v>
      </c>
      <c r="T111" s="84"/>
      <c r="U111" s="85"/>
      <c r="V111" s="85"/>
      <c r="W111" s="181">
        <v>10000000</v>
      </c>
      <c r="X111" s="182" t="s">
        <v>375</v>
      </c>
    </row>
    <row r="112" spans="1:24" ht="26.1" customHeight="1" x14ac:dyDescent="0.25">
      <c r="A112" s="185"/>
      <c r="B112" s="80"/>
      <c r="C112" s="81"/>
      <c r="D112" s="81"/>
      <c r="E112" s="184"/>
      <c r="F112" s="193">
        <f>+'x Políticas'!I7*'x Políticas'!$U7</f>
        <v>0</v>
      </c>
      <c r="G112" s="194">
        <f>+'x Políticas'!J7*'x Políticas'!$U7</f>
        <v>0</v>
      </c>
      <c r="H112" s="194">
        <f>+'x Políticas'!K7*'x Políticas'!$U7</f>
        <v>0</v>
      </c>
      <c r="I112" s="194">
        <f>+'x Políticas'!L7*'x Políticas'!$U7</f>
        <v>0</v>
      </c>
      <c r="J112" s="194">
        <f>+'x Políticas'!M7*'x Políticas'!$U7</f>
        <v>0</v>
      </c>
      <c r="K112" s="194">
        <f>+'x Políticas'!N7*'x Políticas'!$U7</f>
        <v>0</v>
      </c>
      <c r="L112" s="194">
        <f>+'x Políticas'!O7*'x Políticas'!$U7</f>
        <v>0</v>
      </c>
      <c r="M112" s="194">
        <f>+'x Políticas'!P7*'x Políticas'!$U7</f>
        <v>0</v>
      </c>
      <c r="N112" s="194">
        <f>+'x Políticas'!Q7*'x Políticas'!$U7</f>
        <v>0</v>
      </c>
      <c r="O112" s="195">
        <f>+'x Políticas'!R7*'x Políticas'!$U7</f>
        <v>0</v>
      </c>
      <c r="P112" s="196"/>
      <c r="Q112" s="81"/>
      <c r="R112" s="197"/>
      <c r="S112" s="198"/>
      <c r="T112" s="86"/>
      <c r="U112" s="87"/>
      <c r="V112" s="87"/>
      <c r="W112" s="201">
        <v>0</v>
      </c>
      <c r="X112" s="202"/>
    </row>
    <row r="113" spans="1:24" ht="26.1" customHeight="1" x14ac:dyDescent="0.25">
      <c r="A113" s="205" t="s">
        <v>356</v>
      </c>
      <c r="B113" s="47" t="s">
        <v>4</v>
      </c>
      <c r="C113" s="48" t="s">
        <v>462</v>
      </c>
      <c r="D113" s="48" t="s">
        <v>397</v>
      </c>
      <c r="E113" s="204" t="s">
        <v>10</v>
      </c>
      <c r="F113" s="212">
        <f>+'x Políticas'!I8*'x Políticas'!$U8</f>
        <v>0</v>
      </c>
      <c r="G113" s="170">
        <f>+'x Políticas'!J8*'x Políticas'!$U8</f>
        <v>545.4545454545455</v>
      </c>
      <c r="H113" s="170">
        <f>+'x Políticas'!K8*'x Políticas'!$U8</f>
        <v>545.4545454545455</v>
      </c>
      <c r="I113" s="170">
        <f>+'x Políticas'!L8*'x Políticas'!$U8</f>
        <v>545.4545454545455</v>
      </c>
      <c r="J113" s="170">
        <f>+'x Políticas'!M8*'x Políticas'!$U8</f>
        <v>545.4545454545455</v>
      </c>
      <c r="K113" s="170">
        <f>+'x Políticas'!N8*'x Políticas'!$U8</f>
        <v>545.4545454545455</v>
      </c>
      <c r="L113" s="170">
        <f>+'x Políticas'!O8*'x Políticas'!$U8</f>
        <v>545.4545454545455</v>
      </c>
      <c r="M113" s="170">
        <f>+'x Políticas'!P8*'x Políticas'!$U8</f>
        <v>545.4545454545455</v>
      </c>
      <c r="N113" s="170">
        <f>+'x Políticas'!Q8*'x Políticas'!$U8</f>
        <v>545.4545454545455</v>
      </c>
      <c r="O113" s="213">
        <f>+'x Políticas'!R8*'x Políticas'!$U8</f>
        <v>4363.636363636364</v>
      </c>
      <c r="P113" s="214"/>
      <c r="Q113" s="48"/>
      <c r="R113" s="215">
        <v>1</v>
      </c>
      <c r="S113" s="216" t="s">
        <v>436</v>
      </c>
      <c r="T113" s="70"/>
      <c r="U113" s="71"/>
      <c r="V113" s="71"/>
      <c r="W113" s="221">
        <v>39272.727272727272</v>
      </c>
      <c r="X113" s="222"/>
    </row>
    <row r="114" spans="1:24" ht="26.1" customHeight="1" x14ac:dyDescent="0.25">
      <c r="A114" s="225" t="s">
        <v>355</v>
      </c>
      <c r="B114" s="74" t="s">
        <v>3</v>
      </c>
      <c r="C114" s="75" t="s">
        <v>412</v>
      </c>
      <c r="D114" s="75" t="s">
        <v>396</v>
      </c>
      <c r="E114" s="224" t="s">
        <v>37</v>
      </c>
      <c r="F114" s="376">
        <f>+'x Políticas'!I9*'x Políticas'!$U9</f>
        <v>0</v>
      </c>
      <c r="G114" s="174">
        <f>+'x Políticas'!J9*'x Políticas'!$U9</f>
        <v>0</v>
      </c>
      <c r="H114" s="174">
        <f>+'x Políticas'!K9*'x Políticas'!$U9</f>
        <v>0</v>
      </c>
      <c r="I114" s="174">
        <f>+'x Políticas'!L9*'x Políticas'!$U9</f>
        <v>0</v>
      </c>
      <c r="J114" s="174">
        <f>+'x Políticas'!M9*'x Políticas'!$U9</f>
        <v>0</v>
      </c>
      <c r="K114" s="174">
        <f>+'x Políticas'!N9*'x Políticas'!$U9</f>
        <v>0</v>
      </c>
      <c r="L114" s="174">
        <f>+'x Políticas'!O9*'x Políticas'!$U9</f>
        <v>0</v>
      </c>
      <c r="M114" s="174">
        <f>+'x Políticas'!P9*'x Políticas'!$U9</f>
        <v>0</v>
      </c>
      <c r="N114" s="174">
        <f>+'x Políticas'!Q9*'x Políticas'!$U9</f>
        <v>0</v>
      </c>
      <c r="O114" s="175">
        <f>+'x Políticas'!R9*'x Políticas'!$U9</f>
        <v>0</v>
      </c>
      <c r="P114" s="227">
        <v>1</v>
      </c>
      <c r="Q114" s="75"/>
      <c r="R114" s="228"/>
      <c r="S114" s="178"/>
      <c r="T114" s="84"/>
      <c r="U114" s="180">
        <v>342000</v>
      </c>
      <c r="V114" s="85" t="s">
        <v>337</v>
      </c>
      <c r="W114" s="181">
        <v>2915796.6117361053</v>
      </c>
      <c r="X114" s="182"/>
    </row>
    <row r="115" spans="1:24" ht="26.1" customHeight="1" x14ac:dyDescent="0.25">
      <c r="A115" s="234"/>
      <c r="B115" s="80"/>
      <c r="C115" s="81"/>
      <c r="D115" s="81"/>
      <c r="E115" s="233"/>
      <c r="F115" s="193">
        <f>+'x Políticas'!I10*'x Políticas'!$U10</f>
        <v>0</v>
      </c>
      <c r="G115" s="194">
        <f>+'x Políticas'!J10*'x Políticas'!$U10</f>
        <v>0</v>
      </c>
      <c r="H115" s="194">
        <f>+'x Políticas'!K10*'x Políticas'!$U10</f>
        <v>0</v>
      </c>
      <c r="I115" s="194">
        <f>+'x Políticas'!L10*'x Políticas'!$U10</f>
        <v>0</v>
      </c>
      <c r="J115" s="194">
        <f>+'x Políticas'!M10*'x Políticas'!$U10</f>
        <v>0</v>
      </c>
      <c r="K115" s="194">
        <f>+'x Políticas'!N10*'x Políticas'!$U10</f>
        <v>0</v>
      </c>
      <c r="L115" s="194">
        <f>+'x Políticas'!O10*'x Políticas'!$U10</f>
        <v>0</v>
      </c>
      <c r="M115" s="194">
        <f>+'x Políticas'!P10*'x Políticas'!$U10</f>
        <v>0</v>
      </c>
      <c r="N115" s="194">
        <f>+'x Políticas'!Q10*'x Políticas'!$U10</f>
        <v>0</v>
      </c>
      <c r="O115" s="195">
        <f>+'x Políticas'!R10*'x Políticas'!$U10</f>
        <v>0</v>
      </c>
      <c r="P115" s="196"/>
      <c r="Q115" s="81"/>
      <c r="R115" s="81"/>
      <c r="S115" s="198"/>
      <c r="T115" s="86"/>
      <c r="U115" s="87"/>
      <c r="V115" s="87"/>
      <c r="W115" s="201">
        <v>0</v>
      </c>
      <c r="X115" s="202"/>
    </row>
    <row r="116" spans="1:24" ht="26.1" customHeight="1" x14ac:dyDescent="0.25">
      <c r="A116" s="144" t="s">
        <v>357</v>
      </c>
      <c r="B116" s="59" t="s">
        <v>287</v>
      </c>
      <c r="C116" s="145"/>
      <c r="D116" s="60"/>
      <c r="E116" s="143" t="s">
        <v>12</v>
      </c>
      <c r="F116" s="157">
        <f>SUM(F117)</f>
        <v>0</v>
      </c>
      <c r="G116" s="152">
        <f>SUM(G117)</f>
        <v>0</v>
      </c>
      <c r="H116" s="152">
        <f t="shared" ref="H116:N116" si="42">SUM(H117)</f>
        <v>0</v>
      </c>
      <c r="I116" s="152">
        <f t="shared" si="42"/>
        <v>0</v>
      </c>
      <c r="J116" s="152">
        <f t="shared" si="42"/>
        <v>0</v>
      </c>
      <c r="K116" s="152">
        <f t="shared" si="42"/>
        <v>0</v>
      </c>
      <c r="L116" s="152">
        <f t="shared" si="42"/>
        <v>0</v>
      </c>
      <c r="M116" s="152">
        <f t="shared" si="42"/>
        <v>0</v>
      </c>
      <c r="N116" s="152">
        <f t="shared" si="42"/>
        <v>0</v>
      </c>
      <c r="O116" s="156">
        <f>SUM(F116:N116)</f>
        <v>0</v>
      </c>
      <c r="P116" s="157">
        <v>0</v>
      </c>
      <c r="Q116" s="152"/>
      <c r="R116" s="152">
        <v>0</v>
      </c>
      <c r="S116" s="159"/>
      <c r="T116" s="158"/>
      <c r="U116" s="160">
        <v>198000</v>
      </c>
      <c r="V116" s="145"/>
      <c r="W116" s="161">
        <v>120000</v>
      </c>
      <c r="X116" s="151"/>
    </row>
    <row r="117" spans="1:24" ht="26.1" customHeight="1" x14ac:dyDescent="0.25">
      <c r="A117" s="205" t="s">
        <v>357</v>
      </c>
      <c r="B117" s="47" t="s">
        <v>463</v>
      </c>
      <c r="C117" s="50" t="s">
        <v>464</v>
      </c>
      <c r="D117" s="48" t="s">
        <v>465</v>
      </c>
      <c r="E117" s="237" t="s">
        <v>459</v>
      </c>
      <c r="F117" s="212">
        <f>+'x Políticas'!I12*'x Políticas'!$U12</f>
        <v>0</v>
      </c>
      <c r="G117" s="170">
        <f>+'x Políticas'!J12*'x Políticas'!$U12</f>
        <v>0</v>
      </c>
      <c r="H117" s="170">
        <f>+'x Políticas'!K12*'x Políticas'!$U12</f>
        <v>0</v>
      </c>
      <c r="I117" s="170">
        <f>+'x Políticas'!L12*'x Políticas'!$U12</f>
        <v>0</v>
      </c>
      <c r="J117" s="170">
        <f>+'x Políticas'!M12*'x Políticas'!$U12</f>
        <v>0</v>
      </c>
      <c r="K117" s="170">
        <f>+'x Políticas'!N12*'x Políticas'!$U12</f>
        <v>0</v>
      </c>
      <c r="L117" s="170">
        <f>+'x Políticas'!O12*'x Políticas'!$U12</f>
        <v>0</v>
      </c>
      <c r="M117" s="170">
        <f>+'x Políticas'!P12*'x Políticas'!$U12</f>
        <v>0</v>
      </c>
      <c r="N117" s="170">
        <f>+'x Políticas'!Q12*'x Políticas'!$U12</f>
        <v>0</v>
      </c>
      <c r="O117" s="213">
        <f>+'x Políticas'!R12*'x Políticas'!$U12</f>
        <v>0</v>
      </c>
      <c r="P117" s="214"/>
      <c r="Q117" s="48"/>
      <c r="R117" s="48"/>
      <c r="S117" s="216"/>
      <c r="T117" s="83"/>
      <c r="U117" s="239">
        <v>198000</v>
      </c>
      <c r="V117" s="76" t="s">
        <v>461</v>
      </c>
      <c r="W117" s="240">
        <v>120000</v>
      </c>
      <c r="X117" s="222"/>
    </row>
    <row r="118" spans="1:24" ht="26.1" customHeight="1" x14ac:dyDescent="0.25">
      <c r="A118" s="144" t="s">
        <v>357</v>
      </c>
      <c r="B118" s="59" t="s">
        <v>489</v>
      </c>
      <c r="C118" s="145"/>
      <c r="D118" s="60"/>
      <c r="E118" s="143" t="s">
        <v>458</v>
      </c>
      <c r="F118" s="157">
        <f>SUM(F119)</f>
        <v>0</v>
      </c>
      <c r="G118" s="152">
        <f>SUM(G119)</f>
        <v>0</v>
      </c>
      <c r="H118" s="152">
        <f t="shared" ref="H118:N118" si="43">SUM(H119)</f>
        <v>0</v>
      </c>
      <c r="I118" s="152">
        <f t="shared" si="43"/>
        <v>0</v>
      </c>
      <c r="J118" s="152">
        <f t="shared" si="43"/>
        <v>0</v>
      </c>
      <c r="K118" s="152">
        <f t="shared" si="43"/>
        <v>0</v>
      </c>
      <c r="L118" s="152">
        <f t="shared" si="43"/>
        <v>0</v>
      </c>
      <c r="M118" s="152">
        <f t="shared" si="43"/>
        <v>0</v>
      </c>
      <c r="N118" s="152">
        <f t="shared" si="43"/>
        <v>0</v>
      </c>
      <c r="O118" s="156">
        <f>SUM(F118:N118)</f>
        <v>0</v>
      </c>
      <c r="P118" s="157">
        <v>59687.795076772258</v>
      </c>
      <c r="Q118" s="152"/>
      <c r="R118" s="152">
        <v>0</v>
      </c>
      <c r="S118" s="159"/>
      <c r="T118" s="158"/>
      <c r="U118" s="160">
        <v>89000</v>
      </c>
      <c r="V118" s="145"/>
      <c r="W118" s="161">
        <v>17111.635692039552</v>
      </c>
      <c r="X118" s="151"/>
    </row>
    <row r="119" spans="1:24" ht="26.1" customHeight="1" x14ac:dyDescent="0.25">
      <c r="A119" s="205" t="s">
        <v>357</v>
      </c>
      <c r="B119" s="47" t="s">
        <v>5</v>
      </c>
      <c r="C119" s="48" t="s">
        <v>402</v>
      </c>
      <c r="D119" s="48" t="s">
        <v>373</v>
      </c>
      <c r="E119" s="204" t="s">
        <v>14</v>
      </c>
      <c r="F119" s="212">
        <f>+'x Políticas'!I14*'x Políticas'!$U14</f>
        <v>0</v>
      </c>
      <c r="G119" s="170">
        <f>+'x Políticas'!J14*'x Políticas'!$U14</f>
        <v>0</v>
      </c>
      <c r="H119" s="170">
        <f>+'x Políticas'!K14*'x Políticas'!$U14</f>
        <v>0</v>
      </c>
      <c r="I119" s="170">
        <f>+'x Políticas'!L14*'x Políticas'!$U14</f>
        <v>0</v>
      </c>
      <c r="J119" s="170">
        <f>+'x Políticas'!M14*'x Políticas'!$U14</f>
        <v>0</v>
      </c>
      <c r="K119" s="170">
        <f>+'x Políticas'!N14*'x Políticas'!$U14</f>
        <v>0</v>
      </c>
      <c r="L119" s="170">
        <f>+'x Políticas'!O14*'x Políticas'!$U14</f>
        <v>0</v>
      </c>
      <c r="M119" s="170">
        <f>+'x Políticas'!P14*'x Políticas'!$U14</f>
        <v>0</v>
      </c>
      <c r="N119" s="170">
        <f>+'x Políticas'!Q14*'x Políticas'!$U14</f>
        <v>0</v>
      </c>
      <c r="O119" s="213">
        <f>+'x Políticas'!R14*'x Políticas'!$U14</f>
        <v>0</v>
      </c>
      <c r="P119" s="242">
        <v>1</v>
      </c>
      <c r="Q119" s="48"/>
      <c r="R119" s="48"/>
      <c r="S119" s="243"/>
      <c r="T119" s="70"/>
      <c r="U119" s="220">
        <v>89000</v>
      </c>
      <c r="V119" s="71" t="s">
        <v>378</v>
      </c>
      <c r="W119" s="221">
        <v>17111.635692039552</v>
      </c>
      <c r="X119" s="222"/>
    </row>
    <row r="120" spans="1:24" ht="26.1" customHeight="1" x14ac:dyDescent="0.25">
      <c r="A120" s="205" t="s">
        <v>357</v>
      </c>
      <c r="B120" s="47" t="s">
        <v>4</v>
      </c>
      <c r="C120" s="48" t="s">
        <v>477</v>
      </c>
      <c r="D120" s="48" t="s">
        <v>395</v>
      </c>
      <c r="E120" s="204" t="s">
        <v>475</v>
      </c>
      <c r="F120" s="212">
        <f>+'x Políticas'!I15*'x Políticas'!$U15</f>
        <v>0</v>
      </c>
      <c r="G120" s="170">
        <f>+'x Políticas'!J15*'x Políticas'!$U15</f>
        <v>0</v>
      </c>
      <c r="H120" s="170">
        <f>+'x Políticas'!K15*'x Políticas'!$U15</f>
        <v>0</v>
      </c>
      <c r="I120" s="170">
        <f>+'x Políticas'!L15*'x Políticas'!$U15</f>
        <v>0</v>
      </c>
      <c r="J120" s="170">
        <f>+'x Políticas'!M15*'x Políticas'!$U15</f>
        <v>0</v>
      </c>
      <c r="K120" s="170">
        <f>+'x Políticas'!N15*'x Políticas'!$U15</f>
        <v>0</v>
      </c>
      <c r="L120" s="170">
        <f>+'x Políticas'!O15*'x Políticas'!$U15</f>
        <v>0</v>
      </c>
      <c r="M120" s="170">
        <f>+'x Políticas'!P15*'x Políticas'!$U15</f>
        <v>0</v>
      </c>
      <c r="N120" s="170">
        <f>+'x Políticas'!Q15*'x Políticas'!$U15</f>
        <v>0</v>
      </c>
      <c r="O120" s="213">
        <f>+'x Políticas'!R15*'x Políticas'!$U15</f>
        <v>0</v>
      </c>
      <c r="P120" s="245"/>
      <c r="Q120" s="48"/>
      <c r="R120" s="48"/>
      <c r="S120" s="243"/>
      <c r="T120" s="70"/>
      <c r="U120" s="71"/>
      <c r="V120" s="71"/>
      <c r="W120" s="221">
        <v>0</v>
      </c>
      <c r="X120" s="222"/>
    </row>
    <row r="121" spans="1:24" ht="26.1" customHeight="1" x14ac:dyDescent="0.25">
      <c r="A121" s="144" t="s">
        <v>357</v>
      </c>
      <c r="B121" s="59" t="s">
        <v>4</v>
      </c>
      <c r="C121" s="145"/>
      <c r="D121" s="60"/>
      <c r="E121" s="143" t="s">
        <v>15</v>
      </c>
      <c r="F121" s="157">
        <f>SUM(F122)</f>
        <v>0</v>
      </c>
      <c r="G121" s="152">
        <f>SUM(G122)</f>
        <v>0</v>
      </c>
      <c r="H121" s="152">
        <f t="shared" ref="H121:N121" si="44">SUM(H122)</f>
        <v>0</v>
      </c>
      <c r="I121" s="152">
        <f t="shared" si="44"/>
        <v>0</v>
      </c>
      <c r="J121" s="152">
        <f t="shared" si="44"/>
        <v>0</v>
      </c>
      <c r="K121" s="152">
        <f t="shared" si="44"/>
        <v>0</v>
      </c>
      <c r="L121" s="152">
        <f t="shared" si="44"/>
        <v>0</v>
      </c>
      <c r="M121" s="152">
        <f t="shared" si="44"/>
        <v>0</v>
      </c>
      <c r="N121" s="152">
        <f t="shared" si="44"/>
        <v>0</v>
      </c>
      <c r="O121" s="156">
        <f>SUM(F121:N121)</f>
        <v>0</v>
      </c>
      <c r="P121" s="157">
        <v>0</v>
      </c>
      <c r="Q121" s="152"/>
      <c r="R121" s="152">
        <v>0</v>
      </c>
      <c r="S121" s="159"/>
      <c r="T121" s="158"/>
      <c r="U121" s="160">
        <v>582000</v>
      </c>
      <c r="V121" s="145"/>
      <c r="W121" s="161">
        <v>0</v>
      </c>
      <c r="X121" s="151"/>
    </row>
    <row r="122" spans="1:24" ht="26.1" customHeight="1" x14ac:dyDescent="0.25">
      <c r="A122" s="164" t="s">
        <v>357</v>
      </c>
      <c r="B122" s="74" t="s">
        <v>4</v>
      </c>
      <c r="C122" s="247"/>
      <c r="D122" s="75" t="s">
        <v>397</v>
      </c>
      <c r="E122" s="204" t="s">
        <v>437</v>
      </c>
      <c r="F122" s="212">
        <f>+'x Políticas'!I17*'x Políticas'!$U17</f>
        <v>0</v>
      </c>
      <c r="G122" s="170">
        <f>+'x Políticas'!J17*'x Políticas'!$U17</f>
        <v>0</v>
      </c>
      <c r="H122" s="170">
        <f>+'x Políticas'!K17*'x Políticas'!$U17</f>
        <v>0</v>
      </c>
      <c r="I122" s="170">
        <f>+'x Políticas'!L17*'x Políticas'!$U17</f>
        <v>0</v>
      </c>
      <c r="J122" s="170">
        <f>+'x Políticas'!M17*'x Políticas'!$U17</f>
        <v>0</v>
      </c>
      <c r="K122" s="170">
        <f>+'x Políticas'!N17*'x Políticas'!$U17</f>
        <v>0</v>
      </c>
      <c r="L122" s="170">
        <f>+'x Políticas'!O17*'x Políticas'!$U17</f>
        <v>0</v>
      </c>
      <c r="M122" s="170">
        <f>+'x Políticas'!P17*'x Políticas'!$U17</f>
        <v>0</v>
      </c>
      <c r="N122" s="170">
        <f>+'x Políticas'!Q17*'x Políticas'!$U17</f>
        <v>0</v>
      </c>
      <c r="O122" s="213">
        <f>+'x Políticas'!R17*'x Políticas'!$U17</f>
        <v>0</v>
      </c>
      <c r="P122" s="214"/>
      <c r="Q122" s="48"/>
      <c r="R122" s="48"/>
      <c r="S122" s="216"/>
      <c r="T122" s="70"/>
      <c r="U122" s="220">
        <v>582000</v>
      </c>
      <c r="V122" s="71" t="s">
        <v>337</v>
      </c>
      <c r="W122" s="221">
        <v>0</v>
      </c>
      <c r="X122" s="222"/>
    </row>
    <row r="123" spans="1:24" ht="26.1" customHeight="1" x14ac:dyDescent="0.25">
      <c r="A123" s="185"/>
      <c r="B123" s="80"/>
      <c r="C123" s="250"/>
      <c r="D123" s="81"/>
      <c r="E123" s="204" t="s">
        <v>442</v>
      </c>
      <c r="F123" s="212">
        <f>+'x Políticas'!I18*'x Políticas'!$U18</f>
        <v>0</v>
      </c>
      <c r="G123" s="170">
        <f>+'x Políticas'!J18*'x Políticas'!$U18</f>
        <v>0</v>
      </c>
      <c r="H123" s="170">
        <f>+'x Políticas'!K18*'x Políticas'!$U18</f>
        <v>0</v>
      </c>
      <c r="I123" s="170">
        <f>+'x Políticas'!L18*'x Políticas'!$U18</f>
        <v>0</v>
      </c>
      <c r="J123" s="170">
        <f>+'x Políticas'!M18*'x Políticas'!$U18</f>
        <v>0</v>
      </c>
      <c r="K123" s="170">
        <f>+'x Políticas'!N18*'x Políticas'!$U18</f>
        <v>0</v>
      </c>
      <c r="L123" s="170">
        <f>+'x Políticas'!O18*'x Políticas'!$U18</f>
        <v>0</v>
      </c>
      <c r="M123" s="170">
        <f>+'x Políticas'!P18*'x Políticas'!$U18</f>
        <v>0</v>
      </c>
      <c r="N123" s="170">
        <f>+'x Políticas'!Q18*'x Políticas'!$U18</f>
        <v>0</v>
      </c>
      <c r="O123" s="213">
        <f>+'x Políticas'!R18*'x Políticas'!$U18</f>
        <v>0</v>
      </c>
      <c r="P123" s="253">
        <v>1</v>
      </c>
      <c r="Q123" s="48"/>
      <c r="R123" s="48"/>
      <c r="S123" s="216"/>
      <c r="T123" s="70"/>
      <c r="U123" s="220">
        <v>190000</v>
      </c>
      <c r="V123" s="71" t="s">
        <v>441</v>
      </c>
      <c r="W123" s="221">
        <v>10035323.472556673</v>
      </c>
      <c r="X123" s="222"/>
    </row>
    <row r="124" spans="1:24" ht="26.1" customHeight="1" x14ac:dyDescent="0.25">
      <c r="A124" s="144" t="s">
        <v>357</v>
      </c>
      <c r="B124" s="59" t="s">
        <v>4</v>
      </c>
      <c r="C124" s="145"/>
      <c r="D124" s="60"/>
      <c r="E124" s="143" t="s">
        <v>420</v>
      </c>
      <c r="F124" s="157">
        <f>SUM(F125)</f>
        <v>0</v>
      </c>
      <c r="G124" s="152">
        <f>SUM(G125)</f>
        <v>0</v>
      </c>
      <c r="H124" s="152">
        <f t="shared" ref="H124:N124" si="45">SUM(H125)</f>
        <v>0</v>
      </c>
      <c r="I124" s="152">
        <f t="shared" si="45"/>
        <v>0</v>
      </c>
      <c r="J124" s="152">
        <f t="shared" si="45"/>
        <v>0</v>
      </c>
      <c r="K124" s="152">
        <f t="shared" si="45"/>
        <v>0</v>
      </c>
      <c r="L124" s="152">
        <f t="shared" si="45"/>
        <v>0</v>
      </c>
      <c r="M124" s="152">
        <f t="shared" si="45"/>
        <v>0</v>
      </c>
      <c r="N124" s="152">
        <f t="shared" si="45"/>
        <v>0</v>
      </c>
      <c r="O124" s="156">
        <f>SUM(F124:N124)</f>
        <v>0</v>
      </c>
      <c r="P124" s="157">
        <v>0</v>
      </c>
      <c r="Q124" s="152"/>
      <c r="R124" s="152">
        <v>0</v>
      </c>
      <c r="S124" s="159"/>
      <c r="T124" s="158"/>
      <c r="U124" s="160">
        <v>0</v>
      </c>
      <c r="V124" s="145"/>
      <c r="W124" s="161">
        <v>96000</v>
      </c>
      <c r="X124" s="151"/>
    </row>
    <row r="125" spans="1:24" ht="26.1" customHeight="1" x14ac:dyDescent="0.25">
      <c r="A125" s="205" t="s">
        <v>357</v>
      </c>
      <c r="B125" s="47" t="s">
        <v>4</v>
      </c>
      <c r="C125" s="255" t="s">
        <v>403</v>
      </c>
      <c r="D125" s="77" t="s">
        <v>393</v>
      </c>
      <c r="E125" s="204" t="s">
        <v>17</v>
      </c>
      <c r="F125" s="212">
        <f>+'x Políticas'!I20*'x Políticas'!$U20</f>
        <v>0</v>
      </c>
      <c r="G125" s="170">
        <f>+'x Políticas'!J20*'x Políticas'!$U20</f>
        <v>0</v>
      </c>
      <c r="H125" s="170">
        <f>+'x Políticas'!K20*'x Políticas'!$U20</f>
        <v>0</v>
      </c>
      <c r="I125" s="170">
        <f>+'x Políticas'!L20*'x Políticas'!$U20</f>
        <v>0</v>
      </c>
      <c r="J125" s="170">
        <f>+'x Políticas'!M20*'x Políticas'!$U20</f>
        <v>0</v>
      </c>
      <c r="K125" s="170">
        <f>+'x Políticas'!N20*'x Políticas'!$U20</f>
        <v>0</v>
      </c>
      <c r="L125" s="170">
        <f>+'x Políticas'!O20*'x Políticas'!$U20</f>
        <v>0</v>
      </c>
      <c r="M125" s="170">
        <f>+'x Políticas'!P20*'x Políticas'!$U20</f>
        <v>0</v>
      </c>
      <c r="N125" s="170">
        <f>+'x Políticas'!Q20*'x Políticas'!$U20</f>
        <v>0</v>
      </c>
      <c r="O125" s="213">
        <f>+'x Políticas'!R20*'x Políticas'!$U20</f>
        <v>0</v>
      </c>
      <c r="P125" s="214"/>
      <c r="Q125" s="48"/>
      <c r="R125" s="48"/>
      <c r="S125" s="216"/>
      <c r="T125" s="70"/>
      <c r="U125" s="71"/>
      <c r="V125" s="71"/>
      <c r="W125" s="221">
        <v>96000</v>
      </c>
      <c r="X125" s="222"/>
    </row>
    <row r="126" spans="1:24" ht="26.1" customHeight="1" x14ac:dyDescent="0.25">
      <c r="A126" s="144" t="s">
        <v>357</v>
      </c>
      <c r="B126" s="59" t="s">
        <v>6</v>
      </c>
      <c r="C126" s="145"/>
      <c r="D126" s="60"/>
      <c r="E126" s="143" t="s">
        <v>18</v>
      </c>
      <c r="F126" s="157">
        <f>SUM(F127)</f>
        <v>0</v>
      </c>
      <c r="G126" s="152">
        <f>SUM(G127)</f>
        <v>0</v>
      </c>
      <c r="H126" s="152">
        <f t="shared" ref="H126:N126" si="46">SUM(H127)</f>
        <v>0</v>
      </c>
      <c r="I126" s="152">
        <f t="shared" si="46"/>
        <v>0</v>
      </c>
      <c r="J126" s="152">
        <f t="shared" si="46"/>
        <v>0</v>
      </c>
      <c r="K126" s="152">
        <f t="shared" si="46"/>
        <v>0</v>
      </c>
      <c r="L126" s="152">
        <f t="shared" si="46"/>
        <v>0</v>
      </c>
      <c r="M126" s="152">
        <f t="shared" si="46"/>
        <v>0</v>
      </c>
      <c r="N126" s="152">
        <f t="shared" si="46"/>
        <v>0</v>
      </c>
      <c r="O126" s="156">
        <f>SUM(F126:N126)</f>
        <v>0</v>
      </c>
      <c r="P126" s="157">
        <v>0</v>
      </c>
      <c r="Q126" s="152"/>
      <c r="R126" s="152">
        <v>0</v>
      </c>
      <c r="S126" s="159"/>
      <c r="T126" s="158"/>
      <c r="U126" s="160">
        <v>200000</v>
      </c>
      <c r="V126" s="145"/>
      <c r="W126" s="161">
        <v>0</v>
      </c>
      <c r="X126" s="151"/>
    </row>
    <row r="127" spans="1:24" ht="26.1" customHeight="1" x14ac:dyDescent="0.25">
      <c r="A127" s="205" t="s">
        <v>357</v>
      </c>
      <c r="B127" s="47" t="s">
        <v>492</v>
      </c>
      <c r="C127" s="48" t="s">
        <v>403</v>
      </c>
      <c r="D127" s="48" t="s">
        <v>393</v>
      </c>
      <c r="E127" s="204" t="s">
        <v>19</v>
      </c>
      <c r="F127" s="212">
        <f>+'x Políticas'!I22*'x Políticas'!$U22</f>
        <v>0</v>
      </c>
      <c r="G127" s="170">
        <f>+'x Políticas'!J22*'x Políticas'!$U22</f>
        <v>0</v>
      </c>
      <c r="H127" s="170">
        <f>+'x Políticas'!K22*'x Políticas'!$U22</f>
        <v>0</v>
      </c>
      <c r="I127" s="170">
        <f>+'x Políticas'!L22*'x Políticas'!$U22</f>
        <v>0</v>
      </c>
      <c r="J127" s="170">
        <f>+'x Políticas'!M22*'x Políticas'!$U22</f>
        <v>0</v>
      </c>
      <c r="K127" s="170">
        <f>+'x Políticas'!N22*'x Políticas'!$U22</f>
        <v>0</v>
      </c>
      <c r="L127" s="170">
        <f>+'x Políticas'!O22*'x Políticas'!$U22</f>
        <v>0</v>
      </c>
      <c r="M127" s="170">
        <f>+'x Políticas'!P22*'x Políticas'!$U22</f>
        <v>0</v>
      </c>
      <c r="N127" s="170">
        <f>+'x Políticas'!Q22*'x Políticas'!$U22</f>
        <v>0</v>
      </c>
      <c r="O127" s="213">
        <f>+'x Políticas'!R22*'x Políticas'!$U22</f>
        <v>0</v>
      </c>
      <c r="P127" s="245"/>
      <c r="Q127" s="48"/>
      <c r="R127" s="48"/>
      <c r="S127" s="243"/>
      <c r="T127" s="70"/>
      <c r="U127" s="220">
        <v>200000</v>
      </c>
      <c r="V127" s="71" t="s">
        <v>421</v>
      </c>
      <c r="W127" s="221">
        <v>0</v>
      </c>
      <c r="X127" s="222"/>
    </row>
    <row r="128" spans="1:24" ht="26.1" customHeight="1" x14ac:dyDescent="0.25">
      <c r="A128" s="144" t="s">
        <v>355</v>
      </c>
      <c r="B128" s="59" t="s">
        <v>5</v>
      </c>
      <c r="C128" s="145"/>
      <c r="D128" s="60"/>
      <c r="E128" s="143" t="s">
        <v>20</v>
      </c>
      <c r="F128" s="157">
        <f>SUM(F129)</f>
        <v>0</v>
      </c>
      <c r="G128" s="152">
        <f>SUM(G129)</f>
        <v>0</v>
      </c>
      <c r="H128" s="152">
        <f t="shared" ref="H128:N128" si="47">SUM(H129)</f>
        <v>0</v>
      </c>
      <c r="I128" s="152">
        <f t="shared" si="47"/>
        <v>0</v>
      </c>
      <c r="J128" s="152">
        <f t="shared" si="47"/>
        <v>0</v>
      </c>
      <c r="K128" s="152">
        <f t="shared" si="47"/>
        <v>0</v>
      </c>
      <c r="L128" s="152">
        <f t="shared" si="47"/>
        <v>0</v>
      </c>
      <c r="M128" s="152">
        <f t="shared" si="47"/>
        <v>0</v>
      </c>
      <c r="N128" s="152">
        <f t="shared" si="47"/>
        <v>0</v>
      </c>
      <c r="O128" s="156">
        <f>SUM(F128:N128)</f>
        <v>0</v>
      </c>
      <c r="P128" s="157">
        <v>18785.454545454544</v>
      </c>
      <c r="Q128" s="152"/>
      <c r="R128" s="152">
        <v>0</v>
      </c>
      <c r="S128" s="159"/>
      <c r="T128" s="158"/>
      <c r="U128" s="160">
        <v>0</v>
      </c>
      <c r="V128" s="145"/>
      <c r="W128" s="161">
        <v>79036.363636363632</v>
      </c>
      <c r="X128" s="151"/>
    </row>
    <row r="129" spans="1:24" ht="26.1" customHeight="1" x14ac:dyDescent="0.25">
      <c r="A129" s="205" t="s">
        <v>355</v>
      </c>
      <c r="B129" s="47" t="s">
        <v>5</v>
      </c>
      <c r="C129" s="48" t="s">
        <v>402</v>
      </c>
      <c r="D129" s="48" t="s">
        <v>373</v>
      </c>
      <c r="E129" s="261" t="s">
        <v>380</v>
      </c>
      <c r="F129" s="212">
        <f>+'x Políticas'!I24*'x Políticas'!$U24</f>
        <v>0</v>
      </c>
      <c r="G129" s="170">
        <f>+'x Políticas'!J24*'x Políticas'!$U24</f>
        <v>0</v>
      </c>
      <c r="H129" s="170">
        <f>+'x Políticas'!K24*'x Políticas'!$U24</f>
        <v>0</v>
      </c>
      <c r="I129" s="170">
        <f>+'x Políticas'!L24*'x Políticas'!$U24</f>
        <v>0</v>
      </c>
      <c r="J129" s="170">
        <f>+'x Políticas'!M24*'x Políticas'!$U24</f>
        <v>0</v>
      </c>
      <c r="K129" s="170">
        <f>+'x Políticas'!N24*'x Políticas'!$U24</f>
        <v>0</v>
      </c>
      <c r="L129" s="170">
        <f>+'x Políticas'!O24*'x Políticas'!$U24</f>
        <v>0</v>
      </c>
      <c r="M129" s="170">
        <f>+'x Políticas'!P24*'x Políticas'!$U24</f>
        <v>0</v>
      </c>
      <c r="N129" s="170">
        <f>+'x Políticas'!Q24*'x Políticas'!$U24</f>
        <v>0</v>
      </c>
      <c r="O129" s="213">
        <f>+'x Políticas'!R24*'x Políticas'!$U24</f>
        <v>0</v>
      </c>
      <c r="P129" s="262">
        <v>1</v>
      </c>
      <c r="Q129" s="170"/>
      <c r="R129" s="170"/>
      <c r="S129" s="213"/>
      <c r="T129" s="70"/>
      <c r="U129" s="71"/>
      <c r="V129" s="71"/>
      <c r="W129" s="221">
        <v>79036.363636363632</v>
      </c>
      <c r="X129" s="222"/>
    </row>
    <row r="130" spans="1:24" ht="26.1" customHeight="1" x14ac:dyDescent="0.25">
      <c r="A130" s="99"/>
      <c r="B130" s="55"/>
      <c r="C130" s="126"/>
      <c r="D130" s="56"/>
      <c r="E130" s="98" t="s">
        <v>22</v>
      </c>
      <c r="F130" s="136">
        <f>+F131+F135+F137</f>
        <v>695013.44310909091</v>
      </c>
      <c r="G130" s="133">
        <f>+G131+G135+G137</f>
        <v>726960.00617363653</v>
      </c>
      <c r="H130" s="133">
        <f t="shared" ref="H130:N130" si="48">+H131+H135+H137</f>
        <v>763361.58102777263</v>
      </c>
      <c r="I130" s="133">
        <f t="shared" si="48"/>
        <v>801577.28189734311</v>
      </c>
      <c r="J130" s="133">
        <f t="shared" si="48"/>
        <v>841697.81508311944</v>
      </c>
      <c r="K130" s="133">
        <f t="shared" si="48"/>
        <v>887227.51311000262</v>
      </c>
      <c r="L130" s="133">
        <f t="shared" si="48"/>
        <v>928039.10694732098</v>
      </c>
      <c r="M130" s="133">
        <f t="shared" si="48"/>
        <v>974464.87320377794</v>
      </c>
      <c r="N130" s="133">
        <f t="shared" si="48"/>
        <v>1023205.9750457851</v>
      </c>
      <c r="O130" s="137">
        <f>SUM(F130:N130)</f>
        <v>7641547.5955978492</v>
      </c>
      <c r="P130" s="136">
        <v>82510188.878238186</v>
      </c>
      <c r="Q130" s="133"/>
      <c r="R130" s="133">
        <v>1766854.1242784548</v>
      </c>
      <c r="S130" s="139"/>
      <c r="T130" s="138"/>
      <c r="U130" s="140">
        <v>419000</v>
      </c>
      <c r="V130" s="126"/>
      <c r="W130" s="141">
        <v>25534169.577742252</v>
      </c>
      <c r="X130" s="132"/>
    </row>
    <row r="131" spans="1:24" ht="26.1" customHeight="1" x14ac:dyDescent="0.25">
      <c r="A131" s="154" t="s">
        <v>355</v>
      </c>
      <c r="B131" s="59" t="s">
        <v>4</v>
      </c>
      <c r="C131" s="145"/>
      <c r="D131" s="60"/>
      <c r="E131" s="143" t="s">
        <v>23</v>
      </c>
      <c r="F131" s="157">
        <f>SUM(F132:F134)</f>
        <v>0</v>
      </c>
      <c r="G131" s="152">
        <f>SUM(G132:G134)</f>
        <v>0</v>
      </c>
      <c r="H131" s="152">
        <f t="shared" ref="H131:N131" si="49">SUM(H132:H134)</f>
        <v>0</v>
      </c>
      <c r="I131" s="152">
        <f t="shared" si="49"/>
        <v>0</v>
      </c>
      <c r="J131" s="152">
        <f t="shared" si="49"/>
        <v>0</v>
      </c>
      <c r="K131" s="152">
        <f t="shared" si="49"/>
        <v>0</v>
      </c>
      <c r="L131" s="152">
        <f t="shared" si="49"/>
        <v>0</v>
      </c>
      <c r="M131" s="152">
        <f t="shared" si="49"/>
        <v>0</v>
      </c>
      <c r="N131" s="152">
        <f t="shared" si="49"/>
        <v>0</v>
      </c>
      <c r="O131" s="156">
        <f>SUM(F131:N131)</f>
        <v>0</v>
      </c>
      <c r="P131" s="157">
        <v>1423584</v>
      </c>
      <c r="Q131" s="145"/>
      <c r="R131" s="161">
        <v>0</v>
      </c>
      <c r="S131" s="159"/>
      <c r="T131" s="158"/>
      <c r="U131" s="160">
        <v>229000</v>
      </c>
      <c r="V131" s="145"/>
      <c r="W131" s="152">
        <v>683482.03636363638</v>
      </c>
      <c r="X131" s="151"/>
    </row>
    <row r="132" spans="1:24" ht="26.1" customHeight="1" x14ac:dyDescent="0.25">
      <c r="A132" s="265" t="s">
        <v>355</v>
      </c>
      <c r="B132" s="74" t="s">
        <v>4</v>
      </c>
      <c r="C132" s="75" t="s">
        <v>409</v>
      </c>
      <c r="D132" s="75" t="s">
        <v>25</v>
      </c>
      <c r="E132" s="237" t="s">
        <v>390</v>
      </c>
      <c r="F132" s="212">
        <f>+'x Políticas'!I27*'x Políticas'!$U27</f>
        <v>0</v>
      </c>
      <c r="G132" s="170">
        <f>+'x Políticas'!J27*'x Políticas'!$U27</f>
        <v>0</v>
      </c>
      <c r="H132" s="170">
        <f>+'x Políticas'!K27*'x Políticas'!$U27</f>
        <v>0</v>
      </c>
      <c r="I132" s="170">
        <f>+'x Políticas'!L27*'x Políticas'!$U27</f>
        <v>0</v>
      </c>
      <c r="J132" s="170">
        <f>+'x Políticas'!M27*'x Políticas'!$U27</f>
        <v>0</v>
      </c>
      <c r="K132" s="170">
        <f>+'x Políticas'!N27*'x Políticas'!$U27</f>
        <v>0</v>
      </c>
      <c r="L132" s="170">
        <f>+'x Políticas'!O27*'x Políticas'!$U27</f>
        <v>0</v>
      </c>
      <c r="M132" s="170">
        <f>+'x Políticas'!P27*'x Políticas'!$U27</f>
        <v>0</v>
      </c>
      <c r="N132" s="170">
        <f>+'x Políticas'!Q27*'x Políticas'!$U27</f>
        <v>0</v>
      </c>
      <c r="O132" s="213">
        <f>+'x Políticas'!R27*'x Políticas'!$U27</f>
        <v>0</v>
      </c>
      <c r="P132" s="270">
        <v>1</v>
      </c>
      <c r="Q132" s="48" t="s">
        <v>324</v>
      </c>
      <c r="R132" s="48"/>
      <c r="S132" s="243"/>
      <c r="T132" s="70"/>
      <c r="U132" s="71"/>
      <c r="V132" s="71"/>
      <c r="W132" s="221">
        <v>536363.63636363635</v>
      </c>
      <c r="X132" s="222"/>
    </row>
    <row r="133" spans="1:24" ht="26.1" customHeight="1" x14ac:dyDescent="0.25">
      <c r="A133" s="185"/>
      <c r="B133" s="80"/>
      <c r="C133" s="81"/>
      <c r="D133" s="81"/>
      <c r="E133" s="237" t="s">
        <v>391</v>
      </c>
      <c r="F133" s="212">
        <f>+'x Políticas'!I28*'x Políticas'!$U28</f>
        <v>0</v>
      </c>
      <c r="G133" s="170">
        <f>+'x Políticas'!J28*'x Políticas'!$U28</f>
        <v>0</v>
      </c>
      <c r="H133" s="170">
        <f>+'x Políticas'!K28*'x Políticas'!$U28</f>
        <v>0</v>
      </c>
      <c r="I133" s="170">
        <f>+'x Políticas'!L28*'x Políticas'!$U28</f>
        <v>0</v>
      </c>
      <c r="J133" s="170">
        <f>+'x Políticas'!M28*'x Políticas'!$U28</f>
        <v>0</v>
      </c>
      <c r="K133" s="170">
        <f>+'x Políticas'!N28*'x Políticas'!$U28</f>
        <v>0</v>
      </c>
      <c r="L133" s="170">
        <f>+'x Políticas'!O28*'x Políticas'!$U28</f>
        <v>0</v>
      </c>
      <c r="M133" s="170">
        <f>+'x Políticas'!P28*'x Políticas'!$U28</f>
        <v>0</v>
      </c>
      <c r="N133" s="170">
        <f>+'x Políticas'!Q28*'x Políticas'!$U28</f>
        <v>0</v>
      </c>
      <c r="O133" s="213">
        <f>+'x Políticas'!R28*'x Políticas'!$U28</f>
        <v>0</v>
      </c>
      <c r="P133" s="242">
        <v>1</v>
      </c>
      <c r="Q133" s="48"/>
      <c r="R133" s="48"/>
      <c r="S133" s="243"/>
      <c r="T133" s="70"/>
      <c r="U133" s="220">
        <v>229000</v>
      </c>
      <c r="V133" s="220" t="s">
        <v>360</v>
      </c>
      <c r="W133" s="221">
        <v>135927.27272727274</v>
      </c>
      <c r="X133" s="222"/>
    </row>
    <row r="134" spans="1:24" ht="26.1" customHeight="1" x14ac:dyDescent="0.25">
      <c r="A134" s="205" t="s">
        <v>355</v>
      </c>
      <c r="B134" s="47" t="s">
        <v>4</v>
      </c>
      <c r="C134" s="48" t="s">
        <v>407</v>
      </c>
      <c r="D134" s="48" t="s">
        <v>395</v>
      </c>
      <c r="E134" s="204" t="s">
        <v>361</v>
      </c>
      <c r="F134" s="212">
        <f>+'x Políticas'!I29*'x Políticas'!$U29</f>
        <v>0</v>
      </c>
      <c r="G134" s="170">
        <f>+'x Políticas'!J29*'x Políticas'!$U29</f>
        <v>0</v>
      </c>
      <c r="H134" s="170">
        <f>+'x Políticas'!K29*'x Políticas'!$U29</f>
        <v>0</v>
      </c>
      <c r="I134" s="170">
        <f>+'x Políticas'!L29*'x Políticas'!$U29</f>
        <v>0</v>
      </c>
      <c r="J134" s="170">
        <f>+'x Políticas'!M29*'x Políticas'!$U29</f>
        <v>0</v>
      </c>
      <c r="K134" s="170">
        <f>+'x Políticas'!N29*'x Políticas'!$U29</f>
        <v>0</v>
      </c>
      <c r="L134" s="170">
        <f>+'x Políticas'!O29*'x Políticas'!$U29</f>
        <v>0</v>
      </c>
      <c r="M134" s="170">
        <f>+'x Políticas'!P29*'x Políticas'!$U29</f>
        <v>0</v>
      </c>
      <c r="N134" s="170">
        <f>+'x Políticas'!Q29*'x Políticas'!$U29</f>
        <v>0</v>
      </c>
      <c r="O134" s="213">
        <f>+'x Políticas'!R29*'x Políticas'!$U29</f>
        <v>0</v>
      </c>
      <c r="P134" s="274">
        <v>1</v>
      </c>
      <c r="Q134" s="170">
        <v>0.1</v>
      </c>
      <c r="R134" s="170">
        <v>0</v>
      </c>
      <c r="S134" s="213"/>
      <c r="T134" s="219"/>
      <c r="U134" s="220"/>
      <c r="V134" s="220"/>
      <c r="W134" s="221">
        <v>11191.127272727274</v>
      </c>
      <c r="X134" s="222"/>
    </row>
    <row r="135" spans="1:24" ht="26.1" customHeight="1" x14ac:dyDescent="0.25">
      <c r="A135" s="144" t="s">
        <v>357</v>
      </c>
      <c r="B135" s="59" t="s">
        <v>4</v>
      </c>
      <c r="C135" s="145"/>
      <c r="D135" s="60"/>
      <c r="E135" s="143" t="s">
        <v>27</v>
      </c>
      <c r="F135" s="157">
        <f>SUM(F136)</f>
        <v>0</v>
      </c>
      <c r="G135" s="152">
        <f>SUM(G136)</f>
        <v>0</v>
      </c>
      <c r="H135" s="152">
        <f t="shared" ref="H135:N135" si="50">SUM(H136)</f>
        <v>0</v>
      </c>
      <c r="I135" s="152">
        <f t="shared" si="50"/>
        <v>0</v>
      </c>
      <c r="J135" s="152">
        <f t="shared" si="50"/>
        <v>0</v>
      </c>
      <c r="K135" s="152">
        <f t="shared" si="50"/>
        <v>0</v>
      </c>
      <c r="L135" s="152">
        <f t="shared" si="50"/>
        <v>0</v>
      </c>
      <c r="M135" s="152">
        <f t="shared" si="50"/>
        <v>0</v>
      </c>
      <c r="N135" s="152">
        <f t="shared" si="50"/>
        <v>0</v>
      </c>
      <c r="O135" s="156">
        <f>SUM(F135:N135)</f>
        <v>0</v>
      </c>
      <c r="P135" s="157">
        <v>11850727.272727272</v>
      </c>
      <c r="Q135" s="152"/>
      <c r="R135" s="152">
        <v>0</v>
      </c>
      <c r="S135" s="159"/>
      <c r="T135" s="158"/>
      <c r="U135" s="160">
        <v>100000</v>
      </c>
      <c r="V135" s="145"/>
      <c r="W135" s="161">
        <v>3890000</v>
      </c>
      <c r="X135" s="151"/>
    </row>
    <row r="136" spans="1:24" ht="26.1" customHeight="1" x14ac:dyDescent="0.25">
      <c r="A136" s="275" t="s">
        <v>357</v>
      </c>
      <c r="B136" s="47" t="s">
        <v>4</v>
      </c>
      <c r="C136" s="48" t="s">
        <v>409</v>
      </c>
      <c r="D136" s="48" t="s">
        <v>25</v>
      </c>
      <c r="E136" s="237" t="s">
        <v>28</v>
      </c>
      <c r="F136" s="212">
        <f>+'x Políticas'!I31*'x Políticas'!$U31</f>
        <v>0</v>
      </c>
      <c r="G136" s="170">
        <f>+'x Políticas'!J31*'x Políticas'!$U31</f>
        <v>0</v>
      </c>
      <c r="H136" s="170">
        <f>+'x Políticas'!K31*'x Políticas'!$U31</f>
        <v>0</v>
      </c>
      <c r="I136" s="170">
        <f>+'x Políticas'!L31*'x Políticas'!$U31</f>
        <v>0</v>
      </c>
      <c r="J136" s="170">
        <f>+'x Políticas'!M31*'x Políticas'!$U31</f>
        <v>0</v>
      </c>
      <c r="K136" s="170">
        <f>+'x Políticas'!N31*'x Políticas'!$U31</f>
        <v>0</v>
      </c>
      <c r="L136" s="170">
        <f>+'x Políticas'!O31*'x Políticas'!$U31</f>
        <v>0</v>
      </c>
      <c r="M136" s="170">
        <f>+'x Políticas'!P31*'x Políticas'!$U31</f>
        <v>0</v>
      </c>
      <c r="N136" s="170">
        <f>+'x Políticas'!Q31*'x Políticas'!$U31</f>
        <v>0</v>
      </c>
      <c r="O136" s="213">
        <f>+'x Políticas'!R31*'x Políticas'!$U31</f>
        <v>0</v>
      </c>
      <c r="P136" s="242">
        <v>1</v>
      </c>
      <c r="Q136" s="48"/>
      <c r="R136" s="48"/>
      <c r="S136" s="243"/>
      <c r="T136" s="70"/>
      <c r="U136" s="220">
        <v>100000</v>
      </c>
      <c r="V136" s="71" t="s">
        <v>326</v>
      </c>
      <c r="W136" s="221">
        <v>3890000</v>
      </c>
      <c r="X136" s="222"/>
    </row>
    <row r="137" spans="1:24" ht="26.1" customHeight="1" x14ac:dyDescent="0.25">
      <c r="A137" s="144" t="s">
        <v>357</v>
      </c>
      <c r="B137" s="59" t="s">
        <v>4</v>
      </c>
      <c r="C137" s="145"/>
      <c r="D137" s="60"/>
      <c r="E137" s="143" t="s">
        <v>29</v>
      </c>
      <c r="F137" s="157">
        <f>SUM(F138:F140)</f>
        <v>695013.44310909091</v>
      </c>
      <c r="G137" s="152">
        <f>SUM(G138:G140)</f>
        <v>726960.00617363653</v>
      </c>
      <c r="H137" s="152">
        <f t="shared" ref="H137:N137" si="51">SUM(H138:H140)</f>
        <v>763361.58102777263</v>
      </c>
      <c r="I137" s="152">
        <f t="shared" si="51"/>
        <v>801577.28189734311</v>
      </c>
      <c r="J137" s="152">
        <f t="shared" si="51"/>
        <v>841697.81508311944</v>
      </c>
      <c r="K137" s="152">
        <f t="shared" si="51"/>
        <v>887227.51311000262</v>
      </c>
      <c r="L137" s="152">
        <f t="shared" si="51"/>
        <v>928039.10694732098</v>
      </c>
      <c r="M137" s="152">
        <f t="shared" si="51"/>
        <v>974464.87320377794</v>
      </c>
      <c r="N137" s="152">
        <f t="shared" si="51"/>
        <v>1023205.9750457851</v>
      </c>
      <c r="O137" s="156">
        <f>SUM(F137:N137)</f>
        <v>7641547.5955978492</v>
      </c>
      <c r="P137" s="157">
        <v>69235877.60551092</v>
      </c>
      <c r="Q137" s="145"/>
      <c r="R137" s="161">
        <v>1766854.1242784548</v>
      </c>
      <c r="S137" s="159"/>
      <c r="T137" s="158"/>
      <c r="U137" s="160">
        <v>90000</v>
      </c>
      <c r="V137" s="145"/>
      <c r="W137" s="152">
        <v>20960687.541378617</v>
      </c>
      <c r="X137" s="151"/>
    </row>
    <row r="138" spans="1:24" ht="26.1" customHeight="1" x14ac:dyDescent="0.25">
      <c r="A138" s="205" t="s">
        <v>357</v>
      </c>
      <c r="B138" s="47" t="s">
        <v>4</v>
      </c>
      <c r="C138" s="48" t="s">
        <v>407</v>
      </c>
      <c r="D138" s="48" t="s">
        <v>395</v>
      </c>
      <c r="E138" s="204" t="s">
        <v>365</v>
      </c>
      <c r="F138" s="212">
        <f>+'x Políticas'!I33*'x Políticas'!$U33</f>
        <v>534777.30127272732</v>
      </c>
      <c r="G138" s="170">
        <f>+'x Políticas'!J33*'x Políticas'!$U33</f>
        <v>558712.05724545463</v>
      </c>
      <c r="H138" s="170">
        <f>+'x Políticas'!K33*'x Políticas'!$U33</f>
        <v>586701.23465318175</v>
      </c>
      <c r="I138" s="170">
        <f>+'x Políticas'!L33*'x Políticas'!$U33</f>
        <v>616083.91820402269</v>
      </c>
      <c r="J138" s="170">
        <f>+'x Políticas'!M33*'x Políticas'!$U33</f>
        <v>646929.78320513293</v>
      </c>
      <c r="K138" s="170">
        <f>+'x Políticas'!N33*'x Políticas'!$U33</f>
        <v>682721.07963811688</v>
      </c>
      <c r="L138" s="170">
        <f>+'x Políticas'!O33*'x Políticas'!$U33</f>
        <v>713307.35180184094</v>
      </c>
      <c r="M138" s="170">
        <f>+'x Políticas'!P33*'x Políticas'!$U33</f>
        <v>748996.53030102386</v>
      </c>
      <c r="N138" s="170">
        <f>+'x Políticas'!Q33*'x Políticas'!$U33</f>
        <v>786464.21499789332</v>
      </c>
      <c r="O138" s="213">
        <f>+'x Políticas'!R33*'x Políticas'!$U33</f>
        <v>5874693.4713193951</v>
      </c>
      <c r="P138" s="276">
        <v>0.9</v>
      </c>
      <c r="Q138" s="170"/>
      <c r="R138" s="277">
        <v>0.1</v>
      </c>
      <c r="S138" s="213"/>
      <c r="T138" s="219"/>
      <c r="U138" s="220">
        <v>15000</v>
      </c>
      <c r="V138" s="220" t="s">
        <v>363</v>
      </c>
      <c r="W138" s="221">
        <v>20859002.128950771</v>
      </c>
      <c r="X138" s="222"/>
    </row>
    <row r="139" spans="1:24" ht="26.1" customHeight="1" x14ac:dyDescent="0.25">
      <c r="A139" s="164" t="s">
        <v>357</v>
      </c>
      <c r="B139" s="74" t="s">
        <v>4</v>
      </c>
      <c r="C139" s="48" t="s">
        <v>407</v>
      </c>
      <c r="D139" s="75" t="s">
        <v>395</v>
      </c>
      <c r="E139" s="204" t="s">
        <v>366</v>
      </c>
      <c r="F139" s="212">
        <f>+'x Políticas'!I34*'x Políticas'!$U34</f>
        <v>160236.14183636365</v>
      </c>
      <c r="G139" s="170">
        <f>+'x Políticas'!J34*'x Políticas'!$U34</f>
        <v>168247.94892818184</v>
      </c>
      <c r="H139" s="170">
        <f>+'x Políticas'!K34*'x Políticas'!$U34</f>
        <v>176660.34637459091</v>
      </c>
      <c r="I139" s="170">
        <f>+'x Políticas'!L34*'x Políticas'!$U34</f>
        <v>185493.36369332045</v>
      </c>
      <c r="J139" s="170">
        <f>+'x Políticas'!M34*'x Políticas'!$U34</f>
        <v>194768.03187798648</v>
      </c>
      <c r="K139" s="170">
        <f>+'x Políticas'!N34*'x Políticas'!$U34</f>
        <v>204506.43347188577</v>
      </c>
      <c r="L139" s="170">
        <f>+'x Políticas'!O34*'x Políticas'!$U34</f>
        <v>214731.75514548007</v>
      </c>
      <c r="M139" s="170">
        <f>+'x Políticas'!P34*'x Políticas'!$U34</f>
        <v>225468.34290275406</v>
      </c>
      <c r="N139" s="170">
        <f>+'x Políticas'!Q34*'x Políticas'!$U34</f>
        <v>236741.76004789176</v>
      </c>
      <c r="O139" s="213">
        <f>+'x Políticas'!R34*'x Políticas'!$U34</f>
        <v>1766854.1242784548</v>
      </c>
      <c r="P139" s="212">
        <v>0</v>
      </c>
      <c r="Q139" s="170"/>
      <c r="R139" s="277">
        <v>1</v>
      </c>
      <c r="S139" s="213"/>
      <c r="T139" s="219"/>
      <c r="U139" s="220">
        <v>75000</v>
      </c>
      <c r="V139" s="220" t="s">
        <v>364</v>
      </c>
      <c r="W139" s="221">
        <v>101685.41242784551</v>
      </c>
      <c r="X139" s="222"/>
    </row>
    <row r="140" spans="1:24" ht="26.1" customHeight="1" x14ac:dyDescent="0.25">
      <c r="A140" s="280" t="s">
        <v>355</v>
      </c>
      <c r="B140" s="47" t="s">
        <v>4</v>
      </c>
      <c r="C140" s="48" t="s">
        <v>406</v>
      </c>
      <c r="D140" s="48" t="s">
        <v>63</v>
      </c>
      <c r="E140" s="279" t="s">
        <v>392</v>
      </c>
      <c r="F140" s="212">
        <f>+'x Políticas'!I35*'x Políticas'!$U35</f>
        <v>0</v>
      </c>
      <c r="G140" s="170">
        <f>+'x Políticas'!J35*'x Políticas'!$U35</f>
        <v>0</v>
      </c>
      <c r="H140" s="170">
        <f>+'x Políticas'!K35*'x Políticas'!$U35</f>
        <v>0</v>
      </c>
      <c r="I140" s="170">
        <f>+'x Políticas'!L35*'x Políticas'!$U35</f>
        <v>0</v>
      </c>
      <c r="J140" s="170">
        <f>+'x Políticas'!M35*'x Políticas'!$U35</f>
        <v>0</v>
      </c>
      <c r="K140" s="170">
        <f>+'x Políticas'!N35*'x Políticas'!$U35</f>
        <v>0</v>
      </c>
      <c r="L140" s="170">
        <f>+'x Políticas'!O35*'x Políticas'!$U35</f>
        <v>0</v>
      </c>
      <c r="M140" s="170">
        <f>+'x Políticas'!P35*'x Políticas'!$U35</f>
        <v>0</v>
      </c>
      <c r="N140" s="170">
        <f>+'x Políticas'!Q35*'x Políticas'!$U35</f>
        <v>0</v>
      </c>
      <c r="O140" s="213">
        <f>+'x Políticas'!R35*'x Políticas'!$U35</f>
        <v>0</v>
      </c>
      <c r="P140" s="285">
        <v>1</v>
      </c>
      <c r="Q140" s="48"/>
      <c r="R140" s="48"/>
      <c r="S140" s="216"/>
      <c r="T140" s="70"/>
      <c r="U140" s="71"/>
      <c r="V140" s="71"/>
      <c r="W140" s="221">
        <v>0</v>
      </c>
      <c r="X140" s="222"/>
    </row>
    <row r="141" spans="1:24" ht="26.1" customHeight="1" x14ac:dyDescent="0.25">
      <c r="A141" s="99"/>
      <c r="B141" s="55"/>
      <c r="C141" s="126"/>
      <c r="D141" s="56"/>
      <c r="E141" s="98" t="s">
        <v>32</v>
      </c>
      <c r="F141" s="136">
        <f t="shared" ref="F141:N141" si="52">+F142+F146+F157</f>
        <v>2071815.7779145727</v>
      </c>
      <c r="G141" s="133">
        <f t="shared" si="52"/>
        <v>2742823.3165559168</v>
      </c>
      <c r="H141" s="133">
        <f t="shared" si="52"/>
        <v>2239967.5823211232</v>
      </c>
      <c r="I141" s="133">
        <f t="shared" si="52"/>
        <v>2388392.1733404384</v>
      </c>
      <c r="J141" s="133">
        <f t="shared" si="52"/>
        <v>2383149.0485771094</v>
      </c>
      <c r="K141" s="133">
        <f t="shared" si="52"/>
        <v>2401296.5136124147</v>
      </c>
      <c r="L141" s="133">
        <f t="shared" si="52"/>
        <v>2516672.9328088495</v>
      </c>
      <c r="M141" s="133">
        <f t="shared" si="52"/>
        <v>2640106.5794492918</v>
      </c>
      <c r="N141" s="133">
        <f t="shared" si="52"/>
        <v>2769711.9084217572</v>
      </c>
      <c r="O141" s="137">
        <f>SUM(F141:N141)</f>
        <v>22153935.833001476</v>
      </c>
      <c r="P141" s="136">
        <v>342822330.38135868</v>
      </c>
      <c r="Q141" s="133"/>
      <c r="R141" s="133">
        <v>22245572.196637835</v>
      </c>
      <c r="S141" s="139"/>
      <c r="T141" s="138"/>
      <c r="U141" s="140">
        <v>553300</v>
      </c>
      <c r="V141" s="126"/>
      <c r="W141" s="141">
        <v>227035973.68452331</v>
      </c>
      <c r="X141" s="132"/>
    </row>
    <row r="142" spans="1:24" ht="26.1" customHeight="1" x14ac:dyDescent="0.25">
      <c r="A142" s="287" t="s">
        <v>355</v>
      </c>
      <c r="B142" s="63" t="s">
        <v>3</v>
      </c>
      <c r="C142" s="288"/>
      <c r="D142" s="64"/>
      <c r="E142" s="286" t="s">
        <v>33</v>
      </c>
      <c r="F142" s="298">
        <f t="shared" ref="F142:N142" si="53">+F144+F143</f>
        <v>2007088.5051873</v>
      </c>
      <c r="G142" s="294">
        <f t="shared" si="53"/>
        <v>2688823.3165559168</v>
      </c>
      <c r="H142" s="294">
        <f t="shared" si="53"/>
        <v>2185967.5823211232</v>
      </c>
      <c r="I142" s="294">
        <f t="shared" si="53"/>
        <v>2334392.1733404384</v>
      </c>
      <c r="J142" s="294">
        <f t="shared" si="53"/>
        <v>2329149.0485771094</v>
      </c>
      <c r="K142" s="294">
        <f t="shared" si="53"/>
        <v>2347296.5136124147</v>
      </c>
      <c r="L142" s="294">
        <f t="shared" si="53"/>
        <v>2468672.9328088495</v>
      </c>
      <c r="M142" s="294">
        <f t="shared" si="53"/>
        <v>2592106.5794492918</v>
      </c>
      <c r="N142" s="294">
        <f t="shared" si="53"/>
        <v>2721711.9084217572</v>
      </c>
      <c r="O142" s="299">
        <f>SUM(F142:N142)</f>
        <v>21675208.560274202</v>
      </c>
      <c r="P142" s="298">
        <v>339578267.44429576</v>
      </c>
      <c r="Q142" s="294"/>
      <c r="R142" s="294">
        <v>21675208.560274199</v>
      </c>
      <c r="S142" s="301"/>
      <c r="T142" s="300"/>
      <c r="U142" s="302">
        <v>454300</v>
      </c>
      <c r="V142" s="288"/>
      <c r="W142" s="303">
        <v>222544484.17403382</v>
      </c>
      <c r="X142" s="293"/>
    </row>
    <row r="143" spans="1:24" ht="26.1" customHeight="1" x14ac:dyDescent="0.25">
      <c r="A143" s="144" t="s">
        <v>355</v>
      </c>
      <c r="B143" s="59" t="s">
        <v>3</v>
      </c>
      <c r="C143" s="145"/>
      <c r="D143" s="60"/>
      <c r="E143" s="143" t="s">
        <v>36</v>
      </c>
      <c r="F143" s="157"/>
      <c r="G143" s="152"/>
      <c r="H143" s="152"/>
      <c r="I143" s="152"/>
      <c r="J143" s="152"/>
      <c r="K143" s="152"/>
      <c r="L143" s="152"/>
      <c r="M143" s="152"/>
      <c r="N143" s="152"/>
      <c r="O143" s="156"/>
      <c r="P143" s="158"/>
      <c r="Q143" s="145"/>
      <c r="R143" s="145"/>
      <c r="S143" s="159"/>
      <c r="T143" s="158"/>
      <c r="U143" s="160"/>
      <c r="V143" s="145"/>
      <c r="W143" s="161">
        <v>0</v>
      </c>
      <c r="X143" s="151"/>
    </row>
    <row r="144" spans="1:24" ht="26.1" customHeight="1" x14ac:dyDescent="0.25">
      <c r="A144" s="144" t="s">
        <v>355</v>
      </c>
      <c r="B144" s="59" t="s">
        <v>3</v>
      </c>
      <c r="C144" s="145"/>
      <c r="D144" s="60"/>
      <c r="E144" s="143" t="s">
        <v>34</v>
      </c>
      <c r="F144" s="157">
        <f>SUM(F145)</f>
        <v>2007088.5051873</v>
      </c>
      <c r="G144" s="152">
        <f>SUM(G145)</f>
        <v>2688823.3165559168</v>
      </c>
      <c r="H144" s="152">
        <f t="shared" ref="H144:N144" si="54">SUM(H145)</f>
        <v>2185967.5823211232</v>
      </c>
      <c r="I144" s="152">
        <f t="shared" si="54"/>
        <v>2334392.1733404384</v>
      </c>
      <c r="J144" s="152">
        <f t="shared" si="54"/>
        <v>2329149.0485771094</v>
      </c>
      <c r="K144" s="152">
        <f t="shared" si="54"/>
        <v>2347296.5136124147</v>
      </c>
      <c r="L144" s="152">
        <f t="shared" si="54"/>
        <v>2468672.9328088495</v>
      </c>
      <c r="M144" s="152">
        <f t="shared" si="54"/>
        <v>2592106.5794492918</v>
      </c>
      <c r="N144" s="152">
        <f t="shared" si="54"/>
        <v>2721711.9084217572</v>
      </c>
      <c r="O144" s="156">
        <f>SUM(F144:N144)</f>
        <v>21675208.560274202</v>
      </c>
      <c r="P144" s="157">
        <v>339578267.44429576</v>
      </c>
      <c r="Q144" s="152"/>
      <c r="R144" s="152">
        <v>21675208.560274199</v>
      </c>
      <c r="S144" s="159"/>
      <c r="T144" s="158"/>
      <c r="U144" s="160">
        <v>454300</v>
      </c>
      <c r="V144" s="145"/>
      <c r="W144" s="161">
        <v>222544484.17403382</v>
      </c>
      <c r="X144" s="151"/>
    </row>
    <row r="145" spans="1:24" ht="26.1" customHeight="1" x14ac:dyDescent="0.25">
      <c r="A145" s="205" t="s">
        <v>355</v>
      </c>
      <c r="B145" s="47" t="s">
        <v>3</v>
      </c>
      <c r="C145" s="48" t="s">
        <v>410</v>
      </c>
      <c r="D145" s="48" t="s">
        <v>414</v>
      </c>
      <c r="E145" s="204" t="s">
        <v>35</v>
      </c>
      <c r="F145" s="212">
        <f>+'x Políticas'!I40*'x Políticas'!$U40</f>
        <v>2007088.5051873</v>
      </c>
      <c r="G145" s="170">
        <f>+'x Políticas'!J40*'x Políticas'!$U40</f>
        <v>2688823.3165559168</v>
      </c>
      <c r="H145" s="170">
        <f>+'x Políticas'!K40*'x Políticas'!$U40</f>
        <v>2185967.5823211232</v>
      </c>
      <c r="I145" s="170">
        <f>+'x Políticas'!L40*'x Políticas'!$U40</f>
        <v>2334392.1733404384</v>
      </c>
      <c r="J145" s="170">
        <f>+'x Políticas'!M40*'x Políticas'!$U40</f>
        <v>2329149.0485771094</v>
      </c>
      <c r="K145" s="170">
        <f>+'x Políticas'!N40*'x Políticas'!$U40</f>
        <v>2347296.5136124147</v>
      </c>
      <c r="L145" s="170">
        <f>+'x Políticas'!O40*'x Políticas'!$U40</f>
        <v>2468672.9328088495</v>
      </c>
      <c r="M145" s="170">
        <f>+'x Políticas'!P40*'x Políticas'!$U40</f>
        <v>2592106.5794492918</v>
      </c>
      <c r="N145" s="170">
        <f>+'x Políticas'!Q40*'x Políticas'!$U40</f>
        <v>2721711.9084217572</v>
      </c>
      <c r="O145" s="213">
        <f>+'x Políticas'!R40*'x Políticas'!$U40</f>
        <v>21675208.560274199</v>
      </c>
      <c r="P145" s="270">
        <v>0.94</v>
      </c>
      <c r="Q145" s="215"/>
      <c r="R145" s="215">
        <v>0.06</v>
      </c>
      <c r="S145" s="243" t="s">
        <v>495</v>
      </c>
      <c r="T145" s="70"/>
      <c r="U145" s="220">
        <v>454300</v>
      </c>
      <c r="V145" s="71" t="s">
        <v>335</v>
      </c>
      <c r="W145" s="221">
        <v>222544484.17403382</v>
      </c>
      <c r="X145" s="222"/>
    </row>
    <row r="146" spans="1:24" ht="26.1" customHeight="1" x14ac:dyDescent="0.25">
      <c r="A146" s="287"/>
      <c r="B146" s="63" t="s">
        <v>4</v>
      </c>
      <c r="C146" s="288"/>
      <c r="D146" s="64"/>
      <c r="E146" s="286" t="s">
        <v>38</v>
      </c>
      <c r="F146" s="298">
        <f>+F147+F151+F153+F155</f>
        <v>64727.272727272728</v>
      </c>
      <c r="G146" s="294">
        <f>+G147+G151+G153+G155</f>
        <v>54000</v>
      </c>
      <c r="H146" s="294">
        <f t="shared" ref="H146:N146" si="55">+H147+H151+H153+H155</f>
        <v>54000</v>
      </c>
      <c r="I146" s="294">
        <f t="shared" si="55"/>
        <v>54000</v>
      </c>
      <c r="J146" s="294">
        <f t="shared" si="55"/>
        <v>54000</v>
      </c>
      <c r="K146" s="294">
        <f t="shared" si="55"/>
        <v>54000</v>
      </c>
      <c r="L146" s="294">
        <f t="shared" si="55"/>
        <v>48000</v>
      </c>
      <c r="M146" s="294">
        <f t="shared" si="55"/>
        <v>48000</v>
      </c>
      <c r="N146" s="294">
        <f t="shared" si="55"/>
        <v>48000</v>
      </c>
      <c r="O146" s="299">
        <f>SUM(F146:N146)</f>
        <v>478727.27272727271</v>
      </c>
      <c r="P146" s="298">
        <v>3240699.3006992997</v>
      </c>
      <c r="Q146" s="294"/>
      <c r="R146" s="294">
        <v>570363.63636363635</v>
      </c>
      <c r="S146" s="301"/>
      <c r="T146" s="300"/>
      <c r="U146" s="302">
        <v>99000</v>
      </c>
      <c r="V146" s="288"/>
      <c r="W146" s="303">
        <v>4365762.2377622379</v>
      </c>
      <c r="X146" s="293"/>
    </row>
    <row r="147" spans="1:24" ht="26.1" customHeight="1" x14ac:dyDescent="0.25">
      <c r="A147" s="144" t="s">
        <v>357</v>
      </c>
      <c r="B147" s="59" t="s">
        <v>4</v>
      </c>
      <c r="C147" s="145"/>
      <c r="D147" s="60"/>
      <c r="E147" s="143" t="s">
        <v>358</v>
      </c>
      <c r="F147" s="157">
        <f>SUM(F148:F150)</f>
        <v>51000</v>
      </c>
      <c r="G147" s="152">
        <f>SUM(G148:G150)</f>
        <v>51000</v>
      </c>
      <c r="H147" s="152">
        <f t="shared" ref="H147:N147" si="56">SUM(H148:H150)</f>
        <v>51000</v>
      </c>
      <c r="I147" s="152">
        <f t="shared" si="56"/>
        <v>51000</v>
      </c>
      <c r="J147" s="152">
        <f t="shared" si="56"/>
        <v>51000</v>
      </c>
      <c r="K147" s="152">
        <f t="shared" si="56"/>
        <v>51000</v>
      </c>
      <c r="L147" s="152">
        <f t="shared" si="56"/>
        <v>45000</v>
      </c>
      <c r="M147" s="152">
        <f t="shared" si="56"/>
        <v>45000</v>
      </c>
      <c r="N147" s="152">
        <f t="shared" si="56"/>
        <v>45000</v>
      </c>
      <c r="O147" s="156">
        <f>SUM(F147:N147)</f>
        <v>441000</v>
      </c>
      <c r="P147" s="157">
        <v>3072244.7552447543</v>
      </c>
      <c r="Q147" s="145"/>
      <c r="R147" s="161">
        <v>532636.36363636365</v>
      </c>
      <c r="S147" s="159"/>
      <c r="T147" s="158"/>
      <c r="U147" s="160">
        <v>99000</v>
      </c>
      <c r="V147" s="145"/>
      <c r="W147" s="152">
        <v>4215398.6013986012</v>
      </c>
      <c r="X147" s="151"/>
    </row>
    <row r="148" spans="1:24" ht="26.1" customHeight="1" x14ac:dyDescent="0.25">
      <c r="A148" s="205" t="s">
        <v>357</v>
      </c>
      <c r="B148" s="47" t="s">
        <v>4</v>
      </c>
      <c r="C148" s="48" t="s">
        <v>405</v>
      </c>
      <c r="D148" s="48" t="s">
        <v>397</v>
      </c>
      <c r="E148" s="204" t="s">
        <v>367</v>
      </c>
      <c r="F148" s="307">
        <f>+'x Políticas'!I43*'x Políticas'!$U43</f>
        <v>45000</v>
      </c>
      <c r="G148" s="252">
        <f>+'x Políticas'!J43*'x Políticas'!$U43</f>
        <v>45000</v>
      </c>
      <c r="H148" s="252">
        <f>+'x Políticas'!K43*'x Políticas'!$U43</f>
        <v>45000</v>
      </c>
      <c r="I148" s="252">
        <f>+'x Políticas'!L43*'x Políticas'!$U43</f>
        <v>45000</v>
      </c>
      <c r="J148" s="252">
        <f>+'x Políticas'!M43*'x Políticas'!$U43</f>
        <v>45000</v>
      </c>
      <c r="K148" s="252">
        <f>+'x Políticas'!N43*'x Políticas'!$U43</f>
        <v>45000</v>
      </c>
      <c r="L148" s="252">
        <f>+'x Políticas'!O43*'x Políticas'!$U43</f>
        <v>45000</v>
      </c>
      <c r="M148" s="252">
        <f>+'x Políticas'!P43*'x Políticas'!$U43</f>
        <v>45000</v>
      </c>
      <c r="N148" s="252">
        <f>+'x Políticas'!Q43*'x Políticas'!$U43</f>
        <v>45000</v>
      </c>
      <c r="O148" s="213">
        <f>+'x Políticas'!R43*'x Políticas'!$U43</f>
        <v>496636.36363636365</v>
      </c>
      <c r="P148" s="214"/>
      <c r="Q148" s="48"/>
      <c r="R148" s="308">
        <v>1</v>
      </c>
      <c r="S148" s="216" t="s">
        <v>496</v>
      </c>
      <c r="T148" s="70"/>
      <c r="U148" s="220">
        <v>99000</v>
      </c>
      <c r="V148" s="71" t="s">
        <v>369</v>
      </c>
      <c r="W148" s="221">
        <v>2601000</v>
      </c>
      <c r="X148" s="222"/>
    </row>
    <row r="149" spans="1:24" ht="26.1" customHeight="1" x14ac:dyDescent="0.25">
      <c r="A149" s="164" t="s">
        <v>357</v>
      </c>
      <c r="B149" s="74" t="s">
        <v>4</v>
      </c>
      <c r="C149" s="75" t="s">
        <v>405</v>
      </c>
      <c r="D149" s="75" t="s">
        <v>397</v>
      </c>
      <c r="E149" s="204" t="s">
        <v>472</v>
      </c>
      <c r="F149" s="212">
        <f>+'x Políticas'!I44*'x Políticas'!$U44</f>
        <v>6000</v>
      </c>
      <c r="G149" s="170">
        <f>+'x Políticas'!J44*'x Políticas'!$U44</f>
        <v>6000</v>
      </c>
      <c r="H149" s="170">
        <f>+'x Políticas'!K44*'x Políticas'!$U44</f>
        <v>6000</v>
      </c>
      <c r="I149" s="170">
        <f>+'x Políticas'!L44*'x Políticas'!$U44</f>
        <v>6000</v>
      </c>
      <c r="J149" s="170">
        <f>+'x Políticas'!M44*'x Políticas'!$U44</f>
        <v>6000</v>
      </c>
      <c r="K149" s="170">
        <f>+'x Políticas'!N44*'x Políticas'!$U44</f>
        <v>6000</v>
      </c>
      <c r="L149" s="170">
        <f>+'x Políticas'!O44*'x Políticas'!$U44</f>
        <v>0</v>
      </c>
      <c r="M149" s="170">
        <f>+'x Políticas'!P44*'x Políticas'!$U44</f>
        <v>0</v>
      </c>
      <c r="N149" s="170">
        <f>+'x Políticas'!Q44*'x Políticas'!$U44</f>
        <v>0</v>
      </c>
      <c r="O149" s="213">
        <f>+'x Políticas'!R44*'x Políticas'!$U44</f>
        <v>36000</v>
      </c>
      <c r="P149" s="214"/>
      <c r="Q149" s="48"/>
      <c r="R149" s="215">
        <v>1</v>
      </c>
      <c r="S149" s="216"/>
      <c r="T149" s="70"/>
      <c r="U149" s="71"/>
      <c r="V149" s="71"/>
      <c r="W149" s="221">
        <v>24000</v>
      </c>
      <c r="X149" s="222"/>
    </row>
    <row r="150" spans="1:24" ht="26.1" customHeight="1" x14ac:dyDescent="0.25">
      <c r="A150" s="185"/>
      <c r="B150" s="80"/>
      <c r="C150" s="81"/>
      <c r="D150" s="81"/>
      <c r="E150" s="204" t="s">
        <v>473</v>
      </c>
      <c r="F150" s="212">
        <f>+'x Políticas'!I45*'x Políticas'!$U45</f>
        <v>0</v>
      </c>
      <c r="G150" s="217">
        <f>+'x Políticas'!J45*'x Políticas'!$U45</f>
        <v>0</v>
      </c>
      <c r="H150" s="217">
        <f>+'x Políticas'!K45*'x Políticas'!$U45</f>
        <v>0</v>
      </c>
      <c r="I150" s="217">
        <f>+'x Políticas'!L45*'x Políticas'!$U45</f>
        <v>0</v>
      </c>
      <c r="J150" s="217">
        <f>+'x Políticas'!M45*'x Políticas'!$U45</f>
        <v>0</v>
      </c>
      <c r="K150" s="217">
        <f>+'x Políticas'!N45*'x Políticas'!$U45</f>
        <v>0</v>
      </c>
      <c r="L150" s="217">
        <f>+'x Políticas'!O45*'x Políticas'!$U45</f>
        <v>0</v>
      </c>
      <c r="M150" s="217">
        <f>+'x Políticas'!P45*'x Políticas'!$U45</f>
        <v>0</v>
      </c>
      <c r="N150" s="217">
        <f>+'x Políticas'!Q45*'x Políticas'!$U45</f>
        <v>0</v>
      </c>
      <c r="O150" s="213">
        <f>+'x Políticas'!R45*'x Políticas'!$U45</f>
        <v>0</v>
      </c>
      <c r="P150" s="253">
        <v>1</v>
      </c>
      <c r="Q150" s="48"/>
      <c r="R150" s="48"/>
      <c r="S150" s="216"/>
      <c r="T150" s="70"/>
      <c r="U150" s="71"/>
      <c r="V150" s="71"/>
      <c r="W150" s="221">
        <v>1590398.6013986014</v>
      </c>
      <c r="X150" s="222"/>
    </row>
    <row r="151" spans="1:24" ht="26.1" customHeight="1" x14ac:dyDescent="0.25">
      <c r="A151" s="144" t="s">
        <v>357</v>
      </c>
      <c r="B151" s="59" t="s">
        <v>44</v>
      </c>
      <c r="C151" s="145"/>
      <c r="D151" s="60"/>
      <c r="E151" s="143" t="s">
        <v>42</v>
      </c>
      <c r="F151" s="157">
        <f>SUM(F152)</f>
        <v>8000</v>
      </c>
      <c r="G151" s="152">
        <f>SUM(G152)</f>
        <v>0</v>
      </c>
      <c r="H151" s="152">
        <f t="shared" ref="H151:N151" si="57">SUM(H152)</f>
        <v>0</v>
      </c>
      <c r="I151" s="152">
        <f t="shared" si="57"/>
        <v>0</v>
      </c>
      <c r="J151" s="152">
        <f t="shared" si="57"/>
        <v>0</v>
      </c>
      <c r="K151" s="152">
        <f t="shared" si="57"/>
        <v>0</v>
      </c>
      <c r="L151" s="152">
        <f t="shared" si="57"/>
        <v>0</v>
      </c>
      <c r="M151" s="152">
        <f t="shared" si="57"/>
        <v>0</v>
      </c>
      <c r="N151" s="152">
        <f t="shared" si="57"/>
        <v>0</v>
      </c>
      <c r="O151" s="156">
        <f>SUM(F151:N151)</f>
        <v>8000</v>
      </c>
      <c r="P151" s="157">
        <v>0</v>
      </c>
      <c r="Q151" s="152"/>
      <c r="R151" s="152">
        <v>8000</v>
      </c>
      <c r="S151" s="159"/>
      <c r="T151" s="158"/>
      <c r="U151" s="160">
        <v>0</v>
      </c>
      <c r="V151" s="145"/>
      <c r="W151" s="161">
        <v>10000</v>
      </c>
      <c r="X151" s="151"/>
    </row>
    <row r="152" spans="1:24" ht="26.1" customHeight="1" x14ac:dyDescent="0.25">
      <c r="A152" s="205" t="s">
        <v>357</v>
      </c>
      <c r="B152" s="47" t="s">
        <v>44</v>
      </c>
      <c r="C152" s="255"/>
      <c r="D152" s="48" t="s">
        <v>11</v>
      </c>
      <c r="E152" s="204" t="s">
        <v>448</v>
      </c>
      <c r="F152" s="212">
        <f>+'x Políticas'!I47*'x Políticas'!$U47</f>
        <v>8000</v>
      </c>
      <c r="G152" s="170">
        <f>+'x Políticas'!J47*'x Políticas'!$U47</f>
        <v>0</v>
      </c>
      <c r="H152" s="170">
        <f>+'x Políticas'!K47*'x Políticas'!$U47</f>
        <v>0</v>
      </c>
      <c r="I152" s="170">
        <f>+'x Políticas'!L47*'x Políticas'!$U47</f>
        <v>0</v>
      </c>
      <c r="J152" s="170">
        <f>+'x Políticas'!M47*'x Políticas'!$U47</f>
        <v>0</v>
      </c>
      <c r="K152" s="170">
        <f>+'x Políticas'!N47*'x Políticas'!$U47</f>
        <v>0</v>
      </c>
      <c r="L152" s="170">
        <f>+'x Políticas'!O47*'x Políticas'!$U47</f>
        <v>0</v>
      </c>
      <c r="M152" s="170">
        <f>+'x Políticas'!P47*'x Políticas'!$U47</f>
        <v>0</v>
      </c>
      <c r="N152" s="170">
        <f>+'x Políticas'!Q47*'x Políticas'!$U47</f>
        <v>0</v>
      </c>
      <c r="O152" s="213">
        <f>+'x Políticas'!R47*'x Políticas'!$U47</f>
        <v>8000</v>
      </c>
      <c r="P152" s="214"/>
      <c r="Q152" s="48"/>
      <c r="R152" s="215">
        <v>1</v>
      </c>
      <c r="S152" s="216" t="s">
        <v>388</v>
      </c>
      <c r="T152" s="70"/>
      <c r="U152" s="71"/>
      <c r="V152" s="71"/>
      <c r="W152" s="221">
        <v>10000</v>
      </c>
      <c r="X152" s="222"/>
    </row>
    <row r="153" spans="1:24" ht="26.1" customHeight="1" x14ac:dyDescent="0.25">
      <c r="A153" s="144" t="s">
        <v>355</v>
      </c>
      <c r="B153" s="59" t="s">
        <v>4</v>
      </c>
      <c r="C153" s="145"/>
      <c r="D153" s="60"/>
      <c r="E153" s="143" t="s">
        <v>45</v>
      </c>
      <c r="F153" s="157">
        <f>SUM(F154)</f>
        <v>5727.272727272727</v>
      </c>
      <c r="G153" s="152">
        <f>SUM(G154)</f>
        <v>3000</v>
      </c>
      <c r="H153" s="152">
        <f t="shared" ref="H153:N153" si="58">SUM(H154)</f>
        <v>3000</v>
      </c>
      <c r="I153" s="152">
        <f t="shared" si="58"/>
        <v>3000</v>
      </c>
      <c r="J153" s="152">
        <f t="shared" si="58"/>
        <v>3000</v>
      </c>
      <c r="K153" s="152">
        <f t="shared" si="58"/>
        <v>3000</v>
      </c>
      <c r="L153" s="152">
        <f t="shared" si="58"/>
        <v>3000</v>
      </c>
      <c r="M153" s="152">
        <f t="shared" si="58"/>
        <v>3000</v>
      </c>
      <c r="N153" s="152">
        <f t="shared" si="58"/>
        <v>3000</v>
      </c>
      <c r="O153" s="156">
        <f>SUM(F153:N153)</f>
        <v>29727.272727272728</v>
      </c>
      <c r="P153" s="157">
        <v>168454.54545454544</v>
      </c>
      <c r="Q153" s="152"/>
      <c r="R153" s="152">
        <v>29727.272727272724</v>
      </c>
      <c r="S153" s="159"/>
      <c r="T153" s="158"/>
      <c r="U153" s="160">
        <v>0</v>
      </c>
      <c r="V153" s="145"/>
      <c r="W153" s="161">
        <v>110909.09090909091</v>
      </c>
      <c r="X153" s="151"/>
    </row>
    <row r="154" spans="1:24" ht="26.1" customHeight="1" x14ac:dyDescent="0.25">
      <c r="A154" s="205" t="s">
        <v>355</v>
      </c>
      <c r="B154" s="47" t="s">
        <v>4</v>
      </c>
      <c r="C154" s="48" t="s">
        <v>404</v>
      </c>
      <c r="D154" s="48" t="s">
        <v>394</v>
      </c>
      <c r="E154" s="204" t="s">
        <v>487</v>
      </c>
      <c r="F154" s="212">
        <f>+'x Políticas'!I49*'x Políticas'!$U49</f>
        <v>5727.272727272727</v>
      </c>
      <c r="G154" s="170">
        <f>+'x Políticas'!J49*'x Políticas'!$U49</f>
        <v>3000</v>
      </c>
      <c r="H154" s="170">
        <f>+'x Políticas'!K49*'x Políticas'!$U49</f>
        <v>3000</v>
      </c>
      <c r="I154" s="170">
        <f>+'x Políticas'!L49*'x Políticas'!$U49</f>
        <v>3000</v>
      </c>
      <c r="J154" s="170">
        <f>+'x Políticas'!M49*'x Políticas'!$U49</f>
        <v>3000</v>
      </c>
      <c r="K154" s="170">
        <f>+'x Políticas'!N49*'x Políticas'!$U49</f>
        <v>3000</v>
      </c>
      <c r="L154" s="170">
        <f>+'x Políticas'!O49*'x Políticas'!$U49</f>
        <v>3000</v>
      </c>
      <c r="M154" s="170">
        <f>+'x Políticas'!P49*'x Políticas'!$U49</f>
        <v>3000</v>
      </c>
      <c r="N154" s="170">
        <f>+'x Políticas'!Q49*'x Políticas'!$U49</f>
        <v>3000</v>
      </c>
      <c r="O154" s="213">
        <f>+'x Políticas'!R49*'x Políticas'!$U49</f>
        <v>29727.272727272724</v>
      </c>
      <c r="P154" s="270">
        <v>0.85</v>
      </c>
      <c r="Q154" s="48"/>
      <c r="R154" s="215">
        <v>0.15</v>
      </c>
      <c r="S154" s="243" t="s">
        <v>388</v>
      </c>
      <c r="T154" s="70"/>
      <c r="U154" s="71"/>
      <c r="V154" s="71"/>
      <c r="W154" s="221">
        <v>110909.09090909091</v>
      </c>
      <c r="X154" s="222"/>
    </row>
    <row r="155" spans="1:24" ht="26.1" customHeight="1" x14ac:dyDescent="0.25">
      <c r="A155" s="144" t="s">
        <v>355</v>
      </c>
      <c r="B155" s="59" t="s">
        <v>2</v>
      </c>
      <c r="C155" s="145"/>
      <c r="D155" s="60"/>
      <c r="E155" s="143" t="s">
        <v>46</v>
      </c>
      <c r="F155" s="157">
        <f>SUM(F156)</f>
        <v>0</v>
      </c>
      <c r="G155" s="152">
        <f>SUM(G156)</f>
        <v>0</v>
      </c>
      <c r="H155" s="152">
        <f t="shared" ref="H155:N155" si="59">SUM(H156)</f>
        <v>0</v>
      </c>
      <c r="I155" s="152">
        <f t="shared" si="59"/>
        <v>0</v>
      </c>
      <c r="J155" s="152">
        <f t="shared" si="59"/>
        <v>0</v>
      </c>
      <c r="K155" s="152">
        <f t="shared" si="59"/>
        <v>0</v>
      </c>
      <c r="L155" s="152">
        <f t="shared" si="59"/>
        <v>0</v>
      </c>
      <c r="M155" s="152">
        <f t="shared" si="59"/>
        <v>0</v>
      </c>
      <c r="N155" s="152">
        <f t="shared" si="59"/>
        <v>0</v>
      </c>
      <c r="O155" s="156">
        <f>SUM(F155:N155)</f>
        <v>0</v>
      </c>
      <c r="P155" s="157">
        <v>0</v>
      </c>
      <c r="Q155" s="152"/>
      <c r="R155" s="152">
        <v>0</v>
      </c>
      <c r="S155" s="159"/>
      <c r="T155" s="158"/>
      <c r="U155" s="160">
        <v>0</v>
      </c>
      <c r="V155" s="145"/>
      <c r="W155" s="161">
        <v>29454.545454545456</v>
      </c>
      <c r="X155" s="151"/>
    </row>
    <row r="156" spans="1:24" ht="26.1" customHeight="1" x14ac:dyDescent="0.25">
      <c r="A156" s="205" t="s">
        <v>355</v>
      </c>
      <c r="B156" s="47" t="s">
        <v>2</v>
      </c>
      <c r="C156" s="77" t="s">
        <v>403</v>
      </c>
      <c r="D156" s="48" t="s">
        <v>393</v>
      </c>
      <c r="E156" s="312" t="s">
        <v>47</v>
      </c>
      <c r="F156" s="321">
        <f>+'x Políticas'!I51*'x Políticas'!$U51</f>
        <v>0</v>
      </c>
      <c r="G156" s="317">
        <f>+'x Políticas'!J51*'x Políticas'!$U51</f>
        <v>0</v>
      </c>
      <c r="H156" s="317">
        <f>+'x Políticas'!K51*'x Políticas'!$U51</f>
        <v>0</v>
      </c>
      <c r="I156" s="317">
        <f>+'x Políticas'!L51*'x Políticas'!$U51</f>
        <v>0</v>
      </c>
      <c r="J156" s="317">
        <f>+'x Políticas'!M51*'x Políticas'!$U51</f>
        <v>0</v>
      </c>
      <c r="K156" s="317">
        <f>+'x Políticas'!N51*'x Políticas'!$U51</f>
        <v>0</v>
      </c>
      <c r="L156" s="317">
        <f>+'x Políticas'!O51*'x Políticas'!$U51</f>
        <v>0</v>
      </c>
      <c r="M156" s="317">
        <f>+'x Políticas'!P51*'x Políticas'!$U51</f>
        <v>0</v>
      </c>
      <c r="N156" s="317">
        <f>+'x Políticas'!Q51*'x Políticas'!$U51</f>
        <v>0</v>
      </c>
      <c r="O156" s="213">
        <f>+'x Políticas'!R51*'x Políticas'!$U51</f>
        <v>0</v>
      </c>
      <c r="P156" s="322"/>
      <c r="Q156" s="77"/>
      <c r="R156" s="77"/>
      <c r="S156" s="323"/>
      <c r="T156" s="72"/>
      <c r="U156" s="73"/>
      <c r="V156" s="73"/>
      <c r="W156" s="221">
        <v>29454.545454545456</v>
      </c>
      <c r="X156" s="327"/>
    </row>
    <row r="157" spans="1:24" ht="26.1" customHeight="1" x14ac:dyDescent="0.25">
      <c r="A157" s="287" t="s">
        <v>355</v>
      </c>
      <c r="B157" s="63" t="s">
        <v>490</v>
      </c>
      <c r="C157" s="288"/>
      <c r="D157" s="64"/>
      <c r="E157" s="286" t="s">
        <v>48</v>
      </c>
      <c r="F157" s="298">
        <f>SUM(F158)</f>
        <v>0</v>
      </c>
      <c r="G157" s="294">
        <f>SUM(G158)</f>
        <v>0</v>
      </c>
      <c r="H157" s="294">
        <f t="shared" ref="H157:N157" si="60">SUM(H158)</f>
        <v>0</v>
      </c>
      <c r="I157" s="294">
        <f t="shared" si="60"/>
        <v>0</v>
      </c>
      <c r="J157" s="294">
        <f t="shared" si="60"/>
        <v>0</v>
      </c>
      <c r="K157" s="294">
        <f t="shared" si="60"/>
        <v>0</v>
      </c>
      <c r="L157" s="294">
        <f t="shared" si="60"/>
        <v>0</v>
      </c>
      <c r="M157" s="294">
        <f t="shared" si="60"/>
        <v>0</v>
      </c>
      <c r="N157" s="294">
        <f t="shared" si="60"/>
        <v>0</v>
      </c>
      <c r="O157" s="299">
        <f>SUM(F157:N157)</f>
        <v>0</v>
      </c>
      <c r="P157" s="298">
        <v>3363.6363636363635</v>
      </c>
      <c r="Q157" s="294"/>
      <c r="R157" s="294">
        <v>0</v>
      </c>
      <c r="S157" s="301"/>
      <c r="T157" s="300"/>
      <c r="U157" s="302">
        <v>0</v>
      </c>
      <c r="V157" s="288"/>
      <c r="W157" s="303">
        <v>125727.27272727272</v>
      </c>
      <c r="X157" s="293"/>
    </row>
    <row r="158" spans="1:24" ht="26.1" customHeight="1" x14ac:dyDescent="0.25">
      <c r="A158" s="205" t="s">
        <v>355</v>
      </c>
      <c r="B158" s="47" t="s">
        <v>490</v>
      </c>
      <c r="C158" s="255"/>
      <c r="D158" s="48" t="s">
        <v>399</v>
      </c>
      <c r="E158" s="204" t="s">
        <v>49</v>
      </c>
      <c r="F158" s="212">
        <f>+'x Políticas'!I53*'x Políticas'!$U53</f>
        <v>0</v>
      </c>
      <c r="G158" s="170">
        <f>+'x Políticas'!J53*'x Políticas'!$U53</f>
        <v>0</v>
      </c>
      <c r="H158" s="170">
        <f>+'x Políticas'!K53*'x Políticas'!$U53</f>
        <v>0</v>
      </c>
      <c r="I158" s="170">
        <f>+'x Políticas'!L53*'x Políticas'!$U53</f>
        <v>0</v>
      </c>
      <c r="J158" s="170">
        <f>+'x Políticas'!M53*'x Políticas'!$U53</f>
        <v>0</v>
      </c>
      <c r="K158" s="170">
        <f>+'x Políticas'!N53*'x Políticas'!$U53</f>
        <v>0</v>
      </c>
      <c r="L158" s="170">
        <f>+'x Políticas'!O53*'x Políticas'!$U53</f>
        <v>0</v>
      </c>
      <c r="M158" s="170">
        <f>+'x Políticas'!P53*'x Políticas'!$U53</f>
        <v>0</v>
      </c>
      <c r="N158" s="170">
        <f>+'x Políticas'!Q53*'x Políticas'!$U53</f>
        <v>0</v>
      </c>
      <c r="O158" s="213">
        <f>+'x Políticas'!R53*'x Políticas'!$U53</f>
        <v>0</v>
      </c>
      <c r="P158" s="285">
        <v>1</v>
      </c>
      <c r="Q158" s="48"/>
      <c r="R158" s="48"/>
      <c r="S158" s="216"/>
      <c r="T158" s="70"/>
      <c r="U158" s="71"/>
      <c r="V158" s="71"/>
      <c r="W158" s="221">
        <v>125727.27272727272</v>
      </c>
      <c r="X158" s="222"/>
    </row>
    <row r="159" spans="1:24" ht="26.1" customHeight="1" x14ac:dyDescent="0.25">
      <c r="A159" s="99"/>
      <c r="B159" s="55"/>
      <c r="C159" s="126"/>
      <c r="D159" s="56"/>
      <c r="E159" s="98" t="s">
        <v>51</v>
      </c>
      <c r="F159" s="136">
        <f>+F160+F164</f>
        <v>529472.84724387154</v>
      </c>
      <c r="G159" s="133">
        <f>+G160+G164</f>
        <v>529472.84724387154</v>
      </c>
      <c r="H159" s="133">
        <f t="shared" ref="H159:N159" si="61">+H160+H164</f>
        <v>529472.84724387154</v>
      </c>
      <c r="I159" s="133">
        <f t="shared" si="61"/>
        <v>154934.70590342925</v>
      </c>
      <c r="J159" s="133">
        <f t="shared" si="61"/>
        <v>154934.70590342925</v>
      </c>
      <c r="K159" s="133">
        <f t="shared" si="61"/>
        <v>154934.70590342925</v>
      </c>
      <c r="L159" s="133">
        <f t="shared" si="61"/>
        <v>154934.70590342925</v>
      </c>
      <c r="M159" s="133">
        <f t="shared" si="61"/>
        <v>154934.70590342925</v>
      </c>
      <c r="N159" s="133">
        <f t="shared" si="61"/>
        <v>154934.70590342925</v>
      </c>
      <c r="O159" s="137">
        <f>SUM(F159:N159)</f>
        <v>2518026.77715219</v>
      </c>
      <c r="P159" s="136">
        <v>8929625.9068536423</v>
      </c>
      <c r="Q159" s="133"/>
      <c r="R159" s="133">
        <v>2518026.77715219</v>
      </c>
      <c r="S159" s="139"/>
      <c r="T159" s="138"/>
      <c r="U159" s="140">
        <v>6000</v>
      </c>
      <c r="V159" s="126"/>
      <c r="W159" s="141">
        <v>12028607.229460372</v>
      </c>
      <c r="X159" s="132"/>
    </row>
    <row r="160" spans="1:24" ht="26.1" customHeight="1" x14ac:dyDescent="0.25">
      <c r="A160" s="287" t="s">
        <v>355</v>
      </c>
      <c r="B160" s="63" t="s">
        <v>4</v>
      </c>
      <c r="C160" s="288"/>
      <c r="D160" s="64"/>
      <c r="E160" s="286" t="s">
        <v>52</v>
      </c>
      <c r="F160" s="298">
        <f>+F161+F162</f>
        <v>44397.312890941503</v>
      </c>
      <c r="G160" s="294">
        <f>+G161+G162</f>
        <v>44397.312890941503</v>
      </c>
      <c r="H160" s="294">
        <f t="shared" ref="H160:N160" si="62">+H161+H162</f>
        <v>44397.312890941503</v>
      </c>
      <c r="I160" s="294">
        <f t="shared" si="62"/>
        <v>44397.312890941503</v>
      </c>
      <c r="J160" s="294">
        <f t="shared" si="62"/>
        <v>44397.312890941503</v>
      </c>
      <c r="K160" s="294">
        <f t="shared" si="62"/>
        <v>44397.312890941503</v>
      </c>
      <c r="L160" s="294">
        <f t="shared" si="62"/>
        <v>44397.312890941503</v>
      </c>
      <c r="M160" s="294">
        <f t="shared" si="62"/>
        <v>44397.312890941503</v>
      </c>
      <c r="N160" s="294">
        <f t="shared" si="62"/>
        <v>44397.312890941503</v>
      </c>
      <c r="O160" s="299">
        <f>SUM(F160:N160)</f>
        <v>399575.81601847353</v>
      </c>
      <c r="P160" s="298">
        <v>7591940.5043509956</v>
      </c>
      <c r="Q160" s="294"/>
      <c r="R160" s="294">
        <v>399575.81601847347</v>
      </c>
      <c r="S160" s="301"/>
      <c r="T160" s="300"/>
      <c r="U160" s="302">
        <v>0</v>
      </c>
      <c r="V160" s="288"/>
      <c r="W160" s="303">
        <v>7991516.320369469</v>
      </c>
      <c r="X160" s="293"/>
    </row>
    <row r="161" spans="1:24" ht="26.1" customHeight="1" x14ac:dyDescent="0.25">
      <c r="A161" s="144" t="s">
        <v>355</v>
      </c>
      <c r="B161" s="59" t="s">
        <v>4</v>
      </c>
      <c r="C161" s="145"/>
      <c r="D161" s="60"/>
      <c r="E161" s="143" t="s">
        <v>53</v>
      </c>
      <c r="F161" s="157"/>
      <c r="G161" s="152"/>
      <c r="H161" s="152"/>
      <c r="I161" s="152"/>
      <c r="J161" s="152"/>
      <c r="K161" s="152"/>
      <c r="L161" s="152"/>
      <c r="M161" s="152"/>
      <c r="N161" s="152"/>
      <c r="O161" s="156"/>
      <c r="P161" s="158"/>
      <c r="Q161" s="145"/>
      <c r="R161" s="145"/>
      <c r="S161" s="159"/>
      <c r="T161" s="158"/>
      <c r="U161" s="145"/>
      <c r="V161" s="145"/>
      <c r="W161" s="145">
        <v>0</v>
      </c>
      <c r="X161" s="151"/>
    </row>
    <row r="162" spans="1:24" ht="26.1" customHeight="1" x14ac:dyDescent="0.25">
      <c r="A162" s="144" t="s">
        <v>355</v>
      </c>
      <c r="B162" s="59" t="s">
        <v>4</v>
      </c>
      <c r="C162" s="145"/>
      <c r="D162" s="60"/>
      <c r="E162" s="143" t="s">
        <v>58</v>
      </c>
      <c r="F162" s="157">
        <f>SUM(F163)</f>
        <v>44397.312890941503</v>
      </c>
      <c r="G162" s="152">
        <f>SUM(G163)</f>
        <v>44397.312890941503</v>
      </c>
      <c r="H162" s="152">
        <f t="shared" ref="H162:N162" si="63">SUM(H163)</f>
        <v>44397.312890941503</v>
      </c>
      <c r="I162" s="152">
        <f t="shared" si="63"/>
        <v>44397.312890941503</v>
      </c>
      <c r="J162" s="152">
        <f t="shared" si="63"/>
        <v>44397.312890941503</v>
      </c>
      <c r="K162" s="152">
        <f t="shared" si="63"/>
        <v>44397.312890941503</v>
      </c>
      <c r="L162" s="152">
        <f t="shared" si="63"/>
        <v>44397.312890941503</v>
      </c>
      <c r="M162" s="152">
        <f t="shared" si="63"/>
        <v>44397.312890941503</v>
      </c>
      <c r="N162" s="152">
        <f t="shared" si="63"/>
        <v>44397.312890941503</v>
      </c>
      <c r="O162" s="156">
        <f>SUM(F162:N162)</f>
        <v>399575.81601847353</v>
      </c>
      <c r="P162" s="157">
        <v>7591940.5043509956</v>
      </c>
      <c r="Q162" s="152"/>
      <c r="R162" s="152">
        <v>399575.81601847347</v>
      </c>
      <c r="S162" s="159"/>
      <c r="T162" s="158"/>
      <c r="U162" s="160">
        <v>0</v>
      </c>
      <c r="V162" s="145"/>
      <c r="W162" s="161">
        <v>7991516.320369469</v>
      </c>
      <c r="X162" s="151"/>
    </row>
    <row r="163" spans="1:24" ht="26.1" customHeight="1" x14ac:dyDescent="0.25">
      <c r="A163" s="205" t="s">
        <v>355</v>
      </c>
      <c r="B163" s="47" t="s">
        <v>4</v>
      </c>
      <c r="C163" s="255"/>
      <c r="D163" s="48" t="s">
        <v>397</v>
      </c>
      <c r="E163" s="204" t="s">
        <v>59</v>
      </c>
      <c r="F163" s="212">
        <f>+'x Políticas'!I58*'x Políticas'!$U58</f>
        <v>44397.312890941503</v>
      </c>
      <c r="G163" s="217">
        <f>+'x Políticas'!J58*'x Políticas'!$U58</f>
        <v>44397.312890941503</v>
      </c>
      <c r="H163" s="217">
        <f>+'x Políticas'!K58*'x Políticas'!$U58</f>
        <v>44397.312890941503</v>
      </c>
      <c r="I163" s="217">
        <f>+'x Políticas'!L58*'x Políticas'!$U58</f>
        <v>44397.312890941503</v>
      </c>
      <c r="J163" s="217">
        <f>+'x Políticas'!M58*'x Políticas'!$U58</f>
        <v>44397.312890941503</v>
      </c>
      <c r="K163" s="217">
        <f>+'x Políticas'!N58*'x Políticas'!$U58</f>
        <v>44397.312890941503</v>
      </c>
      <c r="L163" s="217">
        <f>+'x Políticas'!O58*'x Políticas'!$U58</f>
        <v>44397.312890941503</v>
      </c>
      <c r="M163" s="217">
        <f>+'x Políticas'!P58*'x Políticas'!$U58</f>
        <v>44397.312890941503</v>
      </c>
      <c r="N163" s="217">
        <f>+'x Políticas'!Q58*'x Políticas'!$U58</f>
        <v>44397.312890941503</v>
      </c>
      <c r="O163" s="213">
        <f>+'x Políticas'!R58*'x Políticas'!$U58</f>
        <v>399575.81601847347</v>
      </c>
      <c r="P163" s="253">
        <v>0.95</v>
      </c>
      <c r="Q163" s="48"/>
      <c r="R163" s="215">
        <v>0.05</v>
      </c>
      <c r="S163" s="216"/>
      <c r="T163" s="70"/>
      <c r="U163" s="71"/>
      <c r="V163" s="71"/>
      <c r="W163" s="221">
        <v>7991516.320369469</v>
      </c>
      <c r="X163" s="222"/>
    </row>
    <row r="164" spans="1:24" ht="26.1" customHeight="1" x14ac:dyDescent="0.25">
      <c r="A164" s="287"/>
      <c r="B164" s="63" t="s">
        <v>490</v>
      </c>
      <c r="C164" s="288"/>
      <c r="D164" s="64"/>
      <c r="E164" s="286" t="s">
        <v>248</v>
      </c>
      <c r="F164" s="298">
        <f>+F165+F168</f>
        <v>485075.53435293009</v>
      </c>
      <c r="G164" s="294">
        <f>+G165+G168</f>
        <v>485075.53435293009</v>
      </c>
      <c r="H164" s="294">
        <f t="shared" ref="H164:N164" si="64">+H165+H168</f>
        <v>485075.53435293009</v>
      </c>
      <c r="I164" s="294">
        <f t="shared" si="64"/>
        <v>110537.39301248774</v>
      </c>
      <c r="J164" s="294">
        <f t="shared" si="64"/>
        <v>110537.39301248774</v>
      </c>
      <c r="K164" s="294">
        <f t="shared" si="64"/>
        <v>110537.39301248774</v>
      </c>
      <c r="L164" s="294">
        <f t="shared" si="64"/>
        <v>110537.39301248774</v>
      </c>
      <c r="M164" s="294">
        <f t="shared" si="64"/>
        <v>110537.39301248774</v>
      </c>
      <c r="N164" s="294">
        <f t="shared" si="64"/>
        <v>110537.39301248774</v>
      </c>
      <c r="O164" s="299">
        <f>SUM(F164:N164)</f>
        <v>2118450.9611337171</v>
      </c>
      <c r="P164" s="298">
        <v>1337685.4025026467</v>
      </c>
      <c r="Q164" s="294"/>
      <c r="R164" s="294">
        <v>2118450.9611337166</v>
      </c>
      <c r="S164" s="301"/>
      <c r="T164" s="300"/>
      <c r="U164" s="302">
        <v>6000</v>
      </c>
      <c r="V164" s="288"/>
      <c r="W164" s="303">
        <v>4037090.9090909022</v>
      </c>
      <c r="X164" s="293"/>
    </row>
    <row r="165" spans="1:24" ht="26.1" customHeight="1" x14ac:dyDescent="0.25">
      <c r="A165" s="144" t="s">
        <v>357</v>
      </c>
      <c r="B165" s="59" t="s">
        <v>490</v>
      </c>
      <c r="C165" s="145"/>
      <c r="D165" s="60"/>
      <c r="E165" s="143" t="s">
        <v>54</v>
      </c>
      <c r="F165" s="157">
        <f>SUM(F166:F167)</f>
        <v>485075.53435293009</v>
      </c>
      <c r="G165" s="152">
        <f>SUM(G166:G167)</f>
        <v>485075.53435293009</v>
      </c>
      <c r="H165" s="152">
        <f t="shared" ref="H165:N165" si="65">SUM(H166:H167)</f>
        <v>485075.53435293009</v>
      </c>
      <c r="I165" s="152">
        <f t="shared" si="65"/>
        <v>110537.39301248774</v>
      </c>
      <c r="J165" s="152">
        <f t="shared" si="65"/>
        <v>110537.39301248774</v>
      </c>
      <c r="K165" s="152">
        <f t="shared" si="65"/>
        <v>110537.39301248774</v>
      </c>
      <c r="L165" s="152">
        <f t="shared" si="65"/>
        <v>110537.39301248774</v>
      </c>
      <c r="M165" s="152">
        <f t="shared" si="65"/>
        <v>110537.39301248774</v>
      </c>
      <c r="N165" s="152">
        <f t="shared" si="65"/>
        <v>110537.39301248774</v>
      </c>
      <c r="O165" s="156">
        <f>SUM(F165:N165)</f>
        <v>2118450.9611337171</v>
      </c>
      <c r="P165" s="157">
        <v>1312958.129775374</v>
      </c>
      <c r="Q165" s="152"/>
      <c r="R165" s="152">
        <v>2118450.9611337166</v>
      </c>
      <c r="S165" s="159"/>
      <c r="T165" s="158"/>
      <c r="U165" s="160">
        <v>6000</v>
      </c>
      <c r="V165" s="145"/>
      <c r="W165" s="161">
        <v>3999999.999999993</v>
      </c>
      <c r="X165" s="151"/>
    </row>
    <row r="166" spans="1:24" ht="26.1" customHeight="1" x14ac:dyDescent="0.25">
      <c r="A166" s="205" t="s">
        <v>357</v>
      </c>
      <c r="B166" s="47" t="s">
        <v>4</v>
      </c>
      <c r="C166" s="255" t="s">
        <v>405</v>
      </c>
      <c r="D166" s="48" t="s">
        <v>397</v>
      </c>
      <c r="E166" s="204" t="s">
        <v>455</v>
      </c>
      <c r="F166" s="212">
        <f>+'x Políticas'!I61*'x Políticas'!$U61</f>
        <v>485075.53435293009</v>
      </c>
      <c r="G166" s="170">
        <f>+'x Políticas'!J61*'x Políticas'!$U61</f>
        <v>485075.53435293009</v>
      </c>
      <c r="H166" s="170">
        <f>+'x Políticas'!K61*'x Políticas'!$U61</f>
        <v>485075.53435293009</v>
      </c>
      <c r="I166" s="170">
        <f>+'x Políticas'!L61*'x Políticas'!$U61</f>
        <v>110537.39301248774</v>
      </c>
      <c r="J166" s="170">
        <f>+'x Políticas'!M61*'x Políticas'!$U61</f>
        <v>110537.39301248774</v>
      </c>
      <c r="K166" s="170">
        <f>+'x Políticas'!N61*'x Políticas'!$U61</f>
        <v>110537.39301248774</v>
      </c>
      <c r="L166" s="170">
        <f>+'x Políticas'!O61*'x Políticas'!$U61</f>
        <v>110537.39301248774</v>
      </c>
      <c r="M166" s="170">
        <f>+'x Políticas'!P61*'x Políticas'!$U61</f>
        <v>110537.39301248774</v>
      </c>
      <c r="N166" s="170">
        <f>+'x Políticas'!Q61*'x Políticas'!$U61</f>
        <v>110537.39301248774</v>
      </c>
      <c r="O166" s="213">
        <f>+'x Políticas'!R61*'x Políticas'!$U61</f>
        <v>2118450.9611337166</v>
      </c>
      <c r="P166" s="330">
        <v>0.38262943735091903</v>
      </c>
      <c r="Q166" s="48"/>
      <c r="R166" s="330">
        <v>0.61737056264908097</v>
      </c>
      <c r="S166" s="216" t="s">
        <v>454</v>
      </c>
      <c r="T166" s="70"/>
      <c r="U166" s="71"/>
      <c r="V166" s="71"/>
      <c r="W166" s="221">
        <v>3999999.999999993</v>
      </c>
      <c r="X166" s="222"/>
    </row>
    <row r="167" spans="1:24" ht="26.1" customHeight="1" x14ac:dyDescent="0.25">
      <c r="A167" s="205" t="s">
        <v>357</v>
      </c>
      <c r="B167" s="47" t="s">
        <v>2</v>
      </c>
      <c r="C167" s="77" t="s">
        <v>403</v>
      </c>
      <c r="D167" s="77" t="s">
        <v>393</v>
      </c>
      <c r="E167" s="312" t="s">
        <v>57</v>
      </c>
      <c r="F167" s="321">
        <f>+'x Políticas'!I62*'x Políticas'!$U62</f>
        <v>0</v>
      </c>
      <c r="G167" s="317">
        <f>+'x Políticas'!J62*'x Políticas'!$U62</f>
        <v>0</v>
      </c>
      <c r="H167" s="317">
        <f>+'x Políticas'!K62*'x Políticas'!$U62</f>
        <v>0</v>
      </c>
      <c r="I167" s="317">
        <f>+'x Políticas'!L62*'x Políticas'!$U62</f>
        <v>0</v>
      </c>
      <c r="J167" s="317">
        <f>+'x Políticas'!M62*'x Políticas'!$U62</f>
        <v>0</v>
      </c>
      <c r="K167" s="317">
        <f>+'x Políticas'!N62*'x Políticas'!$U62</f>
        <v>0</v>
      </c>
      <c r="L167" s="317">
        <f>+'x Políticas'!O62*'x Políticas'!$U62</f>
        <v>0</v>
      </c>
      <c r="M167" s="317">
        <f>+'x Políticas'!P62*'x Políticas'!$U62</f>
        <v>0</v>
      </c>
      <c r="N167" s="317">
        <f>+'x Políticas'!Q62*'x Políticas'!$U62</f>
        <v>0</v>
      </c>
      <c r="O167" s="324">
        <f>+'x Políticas'!R62*'x Políticas'!$U62</f>
        <v>0</v>
      </c>
      <c r="P167" s="322"/>
      <c r="Q167" s="77"/>
      <c r="R167" s="77"/>
      <c r="S167" s="323"/>
      <c r="T167" s="72"/>
      <c r="U167" s="326">
        <v>6000</v>
      </c>
      <c r="V167" s="73"/>
      <c r="W167" s="221">
        <v>0</v>
      </c>
      <c r="X167" s="327"/>
    </row>
    <row r="168" spans="1:24" ht="26.1" customHeight="1" x14ac:dyDescent="0.25">
      <c r="A168" s="144" t="s">
        <v>355</v>
      </c>
      <c r="B168" s="59" t="s">
        <v>4</v>
      </c>
      <c r="C168" s="145"/>
      <c r="D168" s="60"/>
      <c r="E168" s="143" t="s">
        <v>249</v>
      </c>
      <c r="F168" s="157">
        <f>SUM(F169)</f>
        <v>0</v>
      </c>
      <c r="G168" s="152">
        <f>SUM(G169)</f>
        <v>0</v>
      </c>
      <c r="H168" s="152">
        <f t="shared" ref="H168:N168" si="66">SUM(H169)</f>
        <v>0</v>
      </c>
      <c r="I168" s="152">
        <f t="shared" si="66"/>
        <v>0</v>
      </c>
      <c r="J168" s="152">
        <f t="shared" si="66"/>
        <v>0</v>
      </c>
      <c r="K168" s="152">
        <f t="shared" si="66"/>
        <v>0</v>
      </c>
      <c r="L168" s="152">
        <f t="shared" si="66"/>
        <v>0</v>
      </c>
      <c r="M168" s="152">
        <f t="shared" si="66"/>
        <v>0</v>
      </c>
      <c r="N168" s="152">
        <f t="shared" si="66"/>
        <v>0</v>
      </c>
      <c r="O168" s="156">
        <f>SUM(F168:N168)</f>
        <v>0</v>
      </c>
      <c r="P168" s="157">
        <v>24727.272727272728</v>
      </c>
      <c r="Q168" s="152"/>
      <c r="R168" s="152">
        <v>0</v>
      </c>
      <c r="S168" s="159"/>
      <c r="T168" s="158"/>
      <c r="U168" s="160">
        <v>0</v>
      </c>
      <c r="V168" s="145"/>
      <c r="W168" s="161">
        <v>37090.909090909088</v>
      </c>
      <c r="X168" s="151"/>
    </row>
    <row r="169" spans="1:24" ht="26.1" customHeight="1" x14ac:dyDescent="0.25">
      <c r="A169" s="205" t="s">
        <v>355</v>
      </c>
      <c r="B169" s="47" t="s">
        <v>4</v>
      </c>
      <c r="C169" s="48" t="s">
        <v>404</v>
      </c>
      <c r="D169" s="48" t="s">
        <v>394</v>
      </c>
      <c r="E169" s="204" t="s">
        <v>56</v>
      </c>
      <c r="F169" s="212">
        <f>+'x Políticas'!I64*'x Políticas'!$U64</f>
        <v>0</v>
      </c>
      <c r="G169" s="170">
        <f>+'x Políticas'!J64*'x Políticas'!$U64</f>
        <v>0</v>
      </c>
      <c r="H169" s="170">
        <f>+'x Políticas'!K64*'x Políticas'!$U64</f>
        <v>0</v>
      </c>
      <c r="I169" s="170">
        <f>+'x Políticas'!L64*'x Políticas'!$U64</f>
        <v>0</v>
      </c>
      <c r="J169" s="170">
        <f>+'x Políticas'!M64*'x Políticas'!$U64</f>
        <v>0</v>
      </c>
      <c r="K169" s="170">
        <f>+'x Políticas'!N64*'x Políticas'!$U64</f>
        <v>0</v>
      </c>
      <c r="L169" s="170">
        <f>+'x Políticas'!O64*'x Políticas'!$U64</f>
        <v>0</v>
      </c>
      <c r="M169" s="170">
        <f>+'x Políticas'!P64*'x Políticas'!$U64</f>
        <v>0</v>
      </c>
      <c r="N169" s="170">
        <f>+'x Políticas'!Q64*'x Políticas'!$U64</f>
        <v>0</v>
      </c>
      <c r="O169" s="213">
        <f>+'x Políticas'!R64*'x Políticas'!$U64</f>
        <v>0</v>
      </c>
      <c r="P169" s="242">
        <v>1</v>
      </c>
      <c r="Q169" s="48"/>
      <c r="R169" s="48"/>
      <c r="S169" s="243"/>
      <c r="T169" s="70"/>
      <c r="U169" s="71"/>
      <c r="V169" s="71"/>
      <c r="W169" s="221">
        <v>37090.909090909088</v>
      </c>
      <c r="X169" s="222"/>
    </row>
    <row r="170" spans="1:24" ht="26.1" customHeight="1" x14ac:dyDescent="0.25">
      <c r="A170" s="99"/>
      <c r="B170" s="55"/>
      <c r="C170" s="126"/>
      <c r="D170" s="56"/>
      <c r="E170" s="98" t="s">
        <v>60</v>
      </c>
      <c r="F170" s="136">
        <f t="shared" ref="F170:N170" si="67">+F171+F175+F179+F181+F183+F187+F190+F192+F196+F200+F202</f>
        <v>203734.15233415234</v>
      </c>
      <c r="G170" s="133">
        <f t="shared" si="67"/>
        <v>204715.97051597052</v>
      </c>
      <c r="H170" s="133">
        <f t="shared" si="67"/>
        <v>157608.02620802625</v>
      </c>
      <c r="I170" s="133">
        <f t="shared" si="67"/>
        <v>111481.90008190004</v>
      </c>
      <c r="J170" s="133">
        <f t="shared" si="67"/>
        <v>64864.864864864867</v>
      </c>
      <c r="K170" s="133">
        <f t="shared" si="67"/>
        <v>65355.773955773955</v>
      </c>
      <c r="L170" s="133">
        <f t="shared" si="67"/>
        <v>64864.864864864867</v>
      </c>
      <c r="M170" s="133">
        <f t="shared" si="67"/>
        <v>65355.773955773955</v>
      </c>
      <c r="N170" s="133">
        <f t="shared" si="67"/>
        <v>64864.864864864867</v>
      </c>
      <c r="O170" s="137">
        <f>SUM(F170:N170)</f>
        <v>1002846.1916461915</v>
      </c>
      <c r="P170" s="136">
        <v>923555.9083950565</v>
      </c>
      <c r="Q170" s="133"/>
      <c r="R170" s="133">
        <v>1002846.1916461916</v>
      </c>
      <c r="S170" s="139"/>
      <c r="T170" s="138"/>
      <c r="U170" s="140">
        <v>2666500</v>
      </c>
      <c r="V170" s="126"/>
      <c r="W170" s="141">
        <v>2325369.3572235494</v>
      </c>
      <c r="X170" s="132"/>
    </row>
    <row r="171" spans="1:24" ht="26.1" customHeight="1" x14ac:dyDescent="0.25">
      <c r="A171" s="144" t="s">
        <v>357</v>
      </c>
      <c r="B171" s="59" t="s">
        <v>4</v>
      </c>
      <c r="C171" s="145"/>
      <c r="D171" s="60"/>
      <c r="E171" s="143" t="s">
        <v>61</v>
      </c>
      <c r="F171" s="157">
        <f>SUM(F172:F174)</f>
        <v>0</v>
      </c>
      <c r="G171" s="152">
        <f>SUM(G172:G174)</f>
        <v>0</v>
      </c>
      <c r="H171" s="152">
        <f t="shared" ref="H171:N171" si="68">SUM(H172:H174)</f>
        <v>0</v>
      </c>
      <c r="I171" s="152">
        <f t="shared" si="68"/>
        <v>0</v>
      </c>
      <c r="J171" s="152">
        <f t="shared" si="68"/>
        <v>0</v>
      </c>
      <c r="K171" s="152">
        <f t="shared" si="68"/>
        <v>0</v>
      </c>
      <c r="L171" s="152">
        <f t="shared" si="68"/>
        <v>0</v>
      </c>
      <c r="M171" s="152">
        <f t="shared" si="68"/>
        <v>0</v>
      </c>
      <c r="N171" s="152">
        <f t="shared" si="68"/>
        <v>0</v>
      </c>
      <c r="O171" s="156">
        <f>SUM(F171:N171)</f>
        <v>0</v>
      </c>
      <c r="P171" s="157">
        <v>298493.0091321572</v>
      </c>
      <c r="Q171" s="145"/>
      <c r="R171" s="161">
        <v>0</v>
      </c>
      <c r="S171" s="159"/>
      <c r="T171" s="158"/>
      <c r="U171" s="160">
        <v>443000</v>
      </c>
      <c r="V171" s="145"/>
      <c r="W171" s="152">
        <v>1084092.8389165022</v>
      </c>
      <c r="X171" s="151"/>
    </row>
    <row r="172" spans="1:24" ht="26.1" customHeight="1" x14ac:dyDescent="0.25">
      <c r="A172" s="205" t="s">
        <v>356</v>
      </c>
      <c r="B172" s="47" t="s">
        <v>4</v>
      </c>
      <c r="C172" s="48" t="s">
        <v>406</v>
      </c>
      <c r="D172" s="48" t="s">
        <v>63</v>
      </c>
      <c r="E172" s="204" t="s">
        <v>62</v>
      </c>
      <c r="F172" s="212">
        <f>+'x Políticas'!I67*'x Políticas'!$U67</f>
        <v>0</v>
      </c>
      <c r="G172" s="170">
        <f>+'x Políticas'!J67*'x Políticas'!$U67</f>
        <v>0</v>
      </c>
      <c r="H172" s="170">
        <f>+'x Políticas'!K67*'x Políticas'!$U67</f>
        <v>0</v>
      </c>
      <c r="I172" s="170">
        <f>+'x Políticas'!L67*'x Políticas'!$U67</f>
        <v>0</v>
      </c>
      <c r="J172" s="170">
        <f>+'x Políticas'!M67*'x Políticas'!$U67</f>
        <v>0</v>
      </c>
      <c r="K172" s="170">
        <f>+'x Políticas'!N67*'x Políticas'!$U67</f>
        <v>0</v>
      </c>
      <c r="L172" s="170">
        <f>+'x Políticas'!O67*'x Políticas'!$U67</f>
        <v>0</v>
      </c>
      <c r="M172" s="170">
        <f>+'x Políticas'!P67*'x Políticas'!$U67</f>
        <v>0</v>
      </c>
      <c r="N172" s="170">
        <f>+'x Políticas'!Q67*'x Políticas'!$U67</f>
        <v>0</v>
      </c>
      <c r="O172" s="213">
        <f>+'x Políticas'!R67*'x Políticas'!$U67</f>
        <v>0</v>
      </c>
      <c r="P172" s="270">
        <v>1</v>
      </c>
      <c r="Q172" s="48"/>
      <c r="R172" s="48"/>
      <c r="S172" s="243"/>
      <c r="T172" s="70"/>
      <c r="U172" s="220">
        <v>218000</v>
      </c>
      <c r="V172" s="71" t="s">
        <v>328</v>
      </c>
      <c r="W172" s="221">
        <v>1012055.540920499</v>
      </c>
      <c r="X172" s="222"/>
    </row>
    <row r="173" spans="1:24" ht="26.1" customHeight="1" x14ac:dyDescent="0.25">
      <c r="A173" s="275" t="s">
        <v>357</v>
      </c>
      <c r="B173" s="47" t="s">
        <v>4</v>
      </c>
      <c r="C173" s="48" t="s">
        <v>406</v>
      </c>
      <c r="D173" s="48" t="s">
        <v>63</v>
      </c>
      <c r="E173" s="237" t="s">
        <v>64</v>
      </c>
      <c r="F173" s="212">
        <f>+'x Políticas'!I68*'x Políticas'!$U68</f>
        <v>0</v>
      </c>
      <c r="G173" s="170">
        <f>+'x Políticas'!J68*'x Políticas'!$U68</f>
        <v>0</v>
      </c>
      <c r="H173" s="170">
        <f>+'x Políticas'!K68*'x Políticas'!$U68</f>
        <v>0</v>
      </c>
      <c r="I173" s="170">
        <f>+'x Políticas'!L68*'x Políticas'!$U68</f>
        <v>0</v>
      </c>
      <c r="J173" s="170">
        <f>+'x Políticas'!M68*'x Políticas'!$U68</f>
        <v>0</v>
      </c>
      <c r="K173" s="170">
        <f>+'x Políticas'!N68*'x Políticas'!$U68</f>
        <v>0</v>
      </c>
      <c r="L173" s="170">
        <f>+'x Políticas'!O68*'x Políticas'!$U68</f>
        <v>0</v>
      </c>
      <c r="M173" s="170">
        <f>+'x Políticas'!P68*'x Políticas'!$U68</f>
        <v>0</v>
      </c>
      <c r="N173" s="170">
        <f>+'x Políticas'!Q68*'x Políticas'!$U68</f>
        <v>0</v>
      </c>
      <c r="O173" s="213">
        <f>+'x Políticas'!R68*'x Políticas'!$U68</f>
        <v>0</v>
      </c>
      <c r="P173" s="270">
        <v>1</v>
      </c>
      <c r="Q173" s="48"/>
      <c r="R173" s="48"/>
      <c r="S173" s="243"/>
      <c r="T173" s="70"/>
      <c r="U173" s="220"/>
      <c r="V173" s="71"/>
      <c r="W173" s="221">
        <v>72037.297996003283</v>
      </c>
      <c r="X173" s="222"/>
    </row>
    <row r="174" spans="1:24" ht="26.1" customHeight="1" x14ac:dyDescent="0.25">
      <c r="A174" s="205" t="s">
        <v>357</v>
      </c>
      <c r="B174" s="47" t="s">
        <v>4</v>
      </c>
      <c r="C174" s="48" t="s">
        <v>403</v>
      </c>
      <c r="D174" s="48" t="s">
        <v>393</v>
      </c>
      <c r="E174" s="312" t="s">
        <v>65</v>
      </c>
      <c r="F174" s="321">
        <f>+'x Políticas'!I69*'x Políticas'!$U69</f>
        <v>0</v>
      </c>
      <c r="G174" s="317">
        <f>+'x Políticas'!J69*'x Políticas'!$U69</f>
        <v>0</v>
      </c>
      <c r="H174" s="317">
        <f>+'x Políticas'!K69*'x Políticas'!$U69</f>
        <v>0</v>
      </c>
      <c r="I174" s="317">
        <f>+'x Políticas'!L69*'x Políticas'!$U69</f>
        <v>0</v>
      </c>
      <c r="J174" s="317">
        <f>+'x Políticas'!M69*'x Políticas'!$U69</f>
        <v>0</v>
      </c>
      <c r="K174" s="317">
        <f>+'x Políticas'!N69*'x Políticas'!$U69</f>
        <v>0</v>
      </c>
      <c r="L174" s="317">
        <f>+'x Políticas'!O69*'x Políticas'!$U69</f>
        <v>0</v>
      </c>
      <c r="M174" s="317">
        <f>+'x Políticas'!P69*'x Políticas'!$U69</f>
        <v>0</v>
      </c>
      <c r="N174" s="317">
        <f>+'x Políticas'!Q69*'x Políticas'!$U69</f>
        <v>0</v>
      </c>
      <c r="O174" s="213">
        <f>+'x Políticas'!R69*'x Políticas'!$U69</f>
        <v>0</v>
      </c>
      <c r="P174" s="322"/>
      <c r="Q174" s="77"/>
      <c r="R174" s="77"/>
      <c r="S174" s="323"/>
      <c r="T174" s="72"/>
      <c r="U174" s="326">
        <v>225000</v>
      </c>
      <c r="V174" s="73" t="s">
        <v>482</v>
      </c>
      <c r="W174" s="221">
        <v>0</v>
      </c>
      <c r="X174" s="327"/>
    </row>
    <row r="175" spans="1:24" ht="26.1" customHeight="1" x14ac:dyDescent="0.25">
      <c r="A175" s="144" t="s">
        <v>357</v>
      </c>
      <c r="B175" s="59" t="s">
        <v>490</v>
      </c>
      <c r="C175" s="145"/>
      <c r="D175" s="60"/>
      <c r="E175" s="143" t="s">
        <v>66</v>
      </c>
      <c r="F175" s="157">
        <f>SUM(F176:F178)</f>
        <v>0</v>
      </c>
      <c r="G175" s="152">
        <f>SUM(G176:G178)</f>
        <v>0</v>
      </c>
      <c r="H175" s="152">
        <f t="shared" ref="H175:N175" si="69">SUM(H176:H178)</f>
        <v>0</v>
      </c>
      <c r="I175" s="152">
        <f t="shared" si="69"/>
        <v>0</v>
      </c>
      <c r="J175" s="152">
        <f t="shared" si="69"/>
        <v>0</v>
      </c>
      <c r="K175" s="152">
        <f t="shared" si="69"/>
        <v>0</v>
      </c>
      <c r="L175" s="152">
        <f t="shared" si="69"/>
        <v>0</v>
      </c>
      <c r="M175" s="152">
        <f t="shared" si="69"/>
        <v>0</v>
      </c>
      <c r="N175" s="152">
        <f t="shared" si="69"/>
        <v>0</v>
      </c>
      <c r="O175" s="156">
        <f>SUM(F175:N175)</f>
        <v>0</v>
      </c>
      <c r="P175" s="157">
        <v>99818.181818181823</v>
      </c>
      <c r="Q175" s="145"/>
      <c r="R175" s="161">
        <v>0</v>
      </c>
      <c r="S175" s="159"/>
      <c r="T175" s="158"/>
      <c r="U175" s="160">
        <v>228500</v>
      </c>
      <c r="V175" s="145"/>
      <c r="W175" s="152">
        <v>9818.181818181818</v>
      </c>
      <c r="X175" s="151"/>
    </row>
    <row r="176" spans="1:24" ht="26.1" customHeight="1" x14ac:dyDescent="0.25">
      <c r="A176" s="205" t="s">
        <v>356</v>
      </c>
      <c r="B176" s="47" t="s">
        <v>4</v>
      </c>
      <c r="C176" s="48" t="s">
        <v>406</v>
      </c>
      <c r="D176" s="48" t="s">
        <v>63</v>
      </c>
      <c r="E176" s="204" t="s">
        <v>67</v>
      </c>
      <c r="F176" s="212">
        <f>+'x Políticas'!I71*'x Políticas'!$U71</f>
        <v>0</v>
      </c>
      <c r="G176" s="170">
        <f>+'x Políticas'!J71*'x Políticas'!$U71</f>
        <v>0</v>
      </c>
      <c r="H176" s="170">
        <f>+'x Políticas'!K71*'x Políticas'!$U71</f>
        <v>0</v>
      </c>
      <c r="I176" s="170">
        <f>+'x Políticas'!L71*'x Políticas'!$U71</f>
        <v>0</v>
      </c>
      <c r="J176" s="170">
        <f>+'x Políticas'!M71*'x Políticas'!$U71</f>
        <v>0</v>
      </c>
      <c r="K176" s="170">
        <f>+'x Políticas'!N71*'x Políticas'!$U71</f>
        <v>0</v>
      </c>
      <c r="L176" s="170">
        <f>+'x Políticas'!O71*'x Políticas'!$U71</f>
        <v>0</v>
      </c>
      <c r="M176" s="170">
        <f>+'x Políticas'!P71*'x Políticas'!$U71</f>
        <v>0</v>
      </c>
      <c r="N176" s="170">
        <f>+'x Políticas'!Q71*'x Políticas'!$U71</f>
        <v>0</v>
      </c>
      <c r="O176" s="213">
        <f>+'x Políticas'!R71*'x Políticas'!$U71</f>
        <v>0</v>
      </c>
      <c r="P176" s="242">
        <v>1</v>
      </c>
      <c r="Q176" s="48"/>
      <c r="R176" s="48"/>
      <c r="S176" s="243"/>
      <c r="T176" s="70"/>
      <c r="U176" s="220">
        <v>76000</v>
      </c>
      <c r="V176" s="71" t="s">
        <v>332</v>
      </c>
      <c r="W176" s="221">
        <v>9090.9090909090901</v>
      </c>
      <c r="X176" s="222"/>
    </row>
    <row r="177" spans="1:24" ht="26.1" customHeight="1" x14ac:dyDescent="0.25">
      <c r="A177" s="205" t="s">
        <v>357</v>
      </c>
      <c r="B177" s="47" t="s">
        <v>2</v>
      </c>
      <c r="C177" s="255"/>
      <c r="D177" s="77" t="s">
        <v>401</v>
      </c>
      <c r="E177" s="312" t="s">
        <v>68</v>
      </c>
      <c r="F177" s="337">
        <f>+'x Políticas'!I72*'x Políticas'!$U72</f>
        <v>0</v>
      </c>
      <c r="G177" s="272">
        <f>+'x Políticas'!J72*'x Políticas'!$U72</f>
        <v>0</v>
      </c>
      <c r="H177" s="272">
        <f>+'x Políticas'!K72*'x Políticas'!$U72</f>
        <v>0</v>
      </c>
      <c r="I177" s="272">
        <f>+'x Políticas'!L72*'x Políticas'!$U72</f>
        <v>0</v>
      </c>
      <c r="J177" s="272">
        <f>+'x Políticas'!M72*'x Políticas'!$U72</f>
        <v>0</v>
      </c>
      <c r="K177" s="272">
        <f>+'x Políticas'!N72*'x Políticas'!$U72</f>
        <v>0</v>
      </c>
      <c r="L177" s="272">
        <f>+'x Políticas'!O72*'x Políticas'!$U72</f>
        <v>0</v>
      </c>
      <c r="M177" s="272">
        <f>+'x Políticas'!P72*'x Políticas'!$U72</f>
        <v>0</v>
      </c>
      <c r="N177" s="272">
        <f>+'x Políticas'!Q72*'x Políticas'!$U72</f>
        <v>0</v>
      </c>
      <c r="O177" s="213">
        <f>+'x Políticas'!R72*'x Políticas'!$U72</f>
        <v>0</v>
      </c>
      <c r="P177" s="338"/>
      <c r="Q177" s="255"/>
      <c r="R177" s="255"/>
      <c r="S177" s="336"/>
      <c r="T177" s="338"/>
      <c r="U177" s="220">
        <v>138500</v>
      </c>
      <c r="V177" s="255" t="s">
        <v>485</v>
      </c>
      <c r="W177" s="221">
        <v>0</v>
      </c>
      <c r="X177" s="333"/>
    </row>
    <row r="178" spans="1:24" ht="26.1" customHeight="1" x14ac:dyDescent="0.25">
      <c r="A178" s="205" t="s">
        <v>357</v>
      </c>
      <c r="B178" s="47" t="s">
        <v>4</v>
      </c>
      <c r="C178" s="48" t="s">
        <v>406</v>
      </c>
      <c r="D178" s="48" t="s">
        <v>63</v>
      </c>
      <c r="E178" s="204" t="s">
        <v>69</v>
      </c>
      <c r="F178" s="212">
        <f>+'x Políticas'!I73*'x Políticas'!$U73</f>
        <v>0</v>
      </c>
      <c r="G178" s="170">
        <f>+'x Políticas'!J73*'x Políticas'!$U73</f>
        <v>0</v>
      </c>
      <c r="H178" s="170">
        <f>+'x Políticas'!K73*'x Políticas'!$U73</f>
        <v>0</v>
      </c>
      <c r="I178" s="170">
        <f>+'x Políticas'!L73*'x Políticas'!$U73</f>
        <v>0</v>
      </c>
      <c r="J178" s="170">
        <f>+'x Políticas'!M73*'x Políticas'!$U73</f>
        <v>0</v>
      </c>
      <c r="K178" s="170">
        <f>+'x Políticas'!N73*'x Políticas'!$U73</f>
        <v>0</v>
      </c>
      <c r="L178" s="170">
        <f>+'x Políticas'!O73*'x Políticas'!$U73</f>
        <v>0</v>
      </c>
      <c r="M178" s="170">
        <f>+'x Políticas'!P73*'x Políticas'!$U73</f>
        <v>0</v>
      </c>
      <c r="N178" s="170">
        <f>+'x Políticas'!Q73*'x Políticas'!$U73</f>
        <v>0</v>
      </c>
      <c r="O178" s="213">
        <f>+'x Políticas'!R73*'x Políticas'!$U73</f>
        <v>0</v>
      </c>
      <c r="P178" s="242">
        <v>1</v>
      </c>
      <c r="Q178" s="48"/>
      <c r="R178" s="48"/>
      <c r="S178" s="243"/>
      <c r="T178" s="70"/>
      <c r="U178" s="220">
        <v>14000</v>
      </c>
      <c r="V178" s="71" t="s">
        <v>332</v>
      </c>
      <c r="W178" s="221">
        <v>727.27272727272725</v>
      </c>
      <c r="X178" s="222"/>
    </row>
    <row r="179" spans="1:24" ht="26.1" customHeight="1" x14ac:dyDescent="0.25">
      <c r="A179" s="144" t="s">
        <v>357</v>
      </c>
      <c r="B179" s="59" t="s">
        <v>1</v>
      </c>
      <c r="C179" s="145"/>
      <c r="D179" s="60"/>
      <c r="E179" s="143" t="s">
        <v>70</v>
      </c>
      <c r="F179" s="157">
        <f>SUM(F180)</f>
        <v>0</v>
      </c>
      <c r="G179" s="152">
        <f>SUM(G180)</f>
        <v>0</v>
      </c>
      <c r="H179" s="152">
        <f t="shared" ref="H179:N179" si="70">SUM(H180)</f>
        <v>0</v>
      </c>
      <c r="I179" s="152">
        <f t="shared" si="70"/>
        <v>0</v>
      </c>
      <c r="J179" s="152">
        <f t="shared" si="70"/>
        <v>0</v>
      </c>
      <c r="K179" s="152">
        <f t="shared" si="70"/>
        <v>0</v>
      </c>
      <c r="L179" s="152">
        <f t="shared" si="70"/>
        <v>0</v>
      </c>
      <c r="M179" s="152">
        <f t="shared" si="70"/>
        <v>0</v>
      </c>
      <c r="N179" s="152">
        <f t="shared" si="70"/>
        <v>0</v>
      </c>
      <c r="O179" s="156">
        <f>SUM(F179:N179)</f>
        <v>0</v>
      </c>
      <c r="P179" s="157">
        <v>0</v>
      </c>
      <c r="Q179" s="152"/>
      <c r="R179" s="152">
        <v>0</v>
      </c>
      <c r="S179" s="159"/>
      <c r="T179" s="158"/>
      <c r="U179" s="160">
        <v>18000</v>
      </c>
      <c r="V179" s="145"/>
      <c r="W179" s="161">
        <v>0</v>
      </c>
      <c r="X179" s="151"/>
    </row>
    <row r="180" spans="1:24" ht="26.1" customHeight="1" x14ac:dyDescent="0.25">
      <c r="A180" s="205" t="s">
        <v>357</v>
      </c>
      <c r="B180" s="47" t="s">
        <v>1</v>
      </c>
      <c r="C180" s="255"/>
      <c r="D180" s="77" t="s">
        <v>400</v>
      </c>
      <c r="E180" s="312" t="s">
        <v>71</v>
      </c>
      <c r="F180" s="337">
        <f>+'x Políticas'!I75*'x Políticas'!$U75</f>
        <v>0</v>
      </c>
      <c r="G180" s="272">
        <f>+'x Políticas'!J75*'x Políticas'!$U75</f>
        <v>0</v>
      </c>
      <c r="H180" s="272">
        <f>+'x Políticas'!K75*'x Políticas'!$U75</f>
        <v>0</v>
      </c>
      <c r="I180" s="272">
        <f>+'x Políticas'!L75*'x Políticas'!$U75</f>
        <v>0</v>
      </c>
      <c r="J180" s="272">
        <f>+'x Políticas'!M75*'x Políticas'!$U75</f>
        <v>0</v>
      </c>
      <c r="K180" s="272">
        <f>+'x Políticas'!N75*'x Políticas'!$U75</f>
        <v>0</v>
      </c>
      <c r="L180" s="272">
        <f>+'x Políticas'!O75*'x Políticas'!$U75</f>
        <v>0</v>
      </c>
      <c r="M180" s="272">
        <f>+'x Políticas'!P75*'x Políticas'!$U75</f>
        <v>0</v>
      </c>
      <c r="N180" s="272">
        <f>+'x Políticas'!Q75*'x Políticas'!$U75</f>
        <v>0</v>
      </c>
      <c r="O180" s="213">
        <f>+'x Políticas'!R75*'x Políticas'!$U75</f>
        <v>0</v>
      </c>
      <c r="P180" s="338"/>
      <c r="Q180" s="255"/>
      <c r="R180" s="255"/>
      <c r="S180" s="336"/>
      <c r="T180" s="338"/>
      <c r="U180" s="220">
        <v>18000</v>
      </c>
      <c r="V180" s="255" t="s">
        <v>351</v>
      </c>
      <c r="W180" s="221">
        <v>0</v>
      </c>
      <c r="X180" s="333"/>
    </row>
    <row r="181" spans="1:24" ht="26.1" customHeight="1" x14ac:dyDescent="0.25">
      <c r="A181" s="144" t="s">
        <v>356</v>
      </c>
      <c r="B181" s="59" t="s">
        <v>2</v>
      </c>
      <c r="C181" s="145"/>
      <c r="D181" s="60"/>
      <c r="E181" s="143" t="s">
        <v>72</v>
      </c>
      <c r="F181" s="157">
        <f>SUM(F182)</f>
        <v>0</v>
      </c>
      <c r="G181" s="152">
        <f>SUM(G182)</f>
        <v>0</v>
      </c>
      <c r="H181" s="152">
        <f t="shared" ref="H181:N181" si="71">SUM(H182)</f>
        <v>0</v>
      </c>
      <c r="I181" s="152">
        <f t="shared" si="71"/>
        <v>0</v>
      </c>
      <c r="J181" s="152">
        <f t="shared" si="71"/>
        <v>0</v>
      </c>
      <c r="K181" s="152">
        <f t="shared" si="71"/>
        <v>0</v>
      </c>
      <c r="L181" s="152">
        <f t="shared" si="71"/>
        <v>0</v>
      </c>
      <c r="M181" s="152">
        <f t="shared" si="71"/>
        <v>0</v>
      </c>
      <c r="N181" s="152">
        <f t="shared" si="71"/>
        <v>0</v>
      </c>
      <c r="O181" s="156">
        <f>SUM(F181:N181)</f>
        <v>0</v>
      </c>
      <c r="P181" s="157">
        <v>0</v>
      </c>
      <c r="Q181" s="152"/>
      <c r="R181" s="152">
        <v>0</v>
      </c>
      <c r="S181" s="159"/>
      <c r="T181" s="158"/>
      <c r="U181" s="160">
        <v>0</v>
      </c>
      <c r="V181" s="145"/>
      <c r="W181" s="161">
        <v>9000</v>
      </c>
      <c r="X181" s="151"/>
    </row>
    <row r="182" spans="1:24" ht="26.1" customHeight="1" x14ac:dyDescent="0.25">
      <c r="A182" s="205" t="s">
        <v>356</v>
      </c>
      <c r="B182" s="47" t="s">
        <v>2</v>
      </c>
      <c r="C182" s="48" t="s">
        <v>403</v>
      </c>
      <c r="D182" s="48" t="s">
        <v>393</v>
      </c>
      <c r="E182" s="204" t="s">
        <v>73</v>
      </c>
      <c r="F182" s="212">
        <f>+'x Políticas'!I77*'x Políticas'!$U77</f>
        <v>0</v>
      </c>
      <c r="G182" s="170">
        <f>+'x Políticas'!J77*'x Políticas'!$U77</f>
        <v>0</v>
      </c>
      <c r="H182" s="170">
        <f>+'x Políticas'!K77*'x Políticas'!$U77</f>
        <v>0</v>
      </c>
      <c r="I182" s="170">
        <f>+'x Políticas'!L77*'x Políticas'!$U77</f>
        <v>0</v>
      </c>
      <c r="J182" s="170">
        <f>+'x Políticas'!M77*'x Políticas'!$U77</f>
        <v>0</v>
      </c>
      <c r="K182" s="170">
        <f>+'x Políticas'!N77*'x Políticas'!$U77</f>
        <v>0</v>
      </c>
      <c r="L182" s="170">
        <f>+'x Políticas'!O77*'x Políticas'!$U77</f>
        <v>0</v>
      </c>
      <c r="M182" s="170">
        <f>+'x Políticas'!P77*'x Políticas'!$U77</f>
        <v>0</v>
      </c>
      <c r="N182" s="170">
        <f>+'x Políticas'!Q77*'x Políticas'!$U77</f>
        <v>0</v>
      </c>
      <c r="O182" s="213">
        <f>+'x Políticas'!R77*'x Políticas'!$U77</f>
        <v>0</v>
      </c>
      <c r="P182" s="245"/>
      <c r="Q182" s="48"/>
      <c r="R182" s="48"/>
      <c r="S182" s="243"/>
      <c r="T182" s="70"/>
      <c r="U182" s="71"/>
      <c r="V182" s="71"/>
      <c r="W182" s="221">
        <v>9000</v>
      </c>
      <c r="X182" s="222"/>
    </row>
    <row r="183" spans="1:24" ht="26.1" customHeight="1" x14ac:dyDescent="0.25">
      <c r="A183" s="144" t="s">
        <v>356</v>
      </c>
      <c r="B183" s="59" t="s">
        <v>491</v>
      </c>
      <c r="C183" s="145"/>
      <c r="D183" s="60"/>
      <c r="E183" s="143" t="s">
        <v>74</v>
      </c>
      <c r="F183" s="157">
        <f>SUM(F184:F186)</f>
        <v>203734.15233415234</v>
      </c>
      <c r="G183" s="152">
        <f>SUM(G184:G186)</f>
        <v>204715.97051597052</v>
      </c>
      <c r="H183" s="152">
        <f t="shared" ref="H183:N183" si="72">SUM(H184:H186)</f>
        <v>157608.02620802625</v>
      </c>
      <c r="I183" s="152">
        <f t="shared" si="72"/>
        <v>111481.90008190004</v>
      </c>
      <c r="J183" s="152">
        <f t="shared" si="72"/>
        <v>64864.864864864867</v>
      </c>
      <c r="K183" s="152">
        <f t="shared" si="72"/>
        <v>65355.773955773955</v>
      </c>
      <c r="L183" s="152">
        <f t="shared" si="72"/>
        <v>64864.864864864867</v>
      </c>
      <c r="M183" s="152">
        <f t="shared" si="72"/>
        <v>65355.773955773955</v>
      </c>
      <c r="N183" s="152">
        <f t="shared" si="72"/>
        <v>64864.864864864867</v>
      </c>
      <c r="O183" s="156">
        <f>SUM(F183:N183)</f>
        <v>1002846.1916461915</v>
      </c>
      <c r="P183" s="157">
        <v>165244.71744471745</v>
      </c>
      <c r="Q183" s="145"/>
      <c r="R183" s="161">
        <v>1002846.1916461916</v>
      </c>
      <c r="S183" s="159"/>
      <c r="T183" s="158"/>
      <c r="U183" s="160">
        <v>1340000</v>
      </c>
      <c r="V183" s="145"/>
      <c r="W183" s="161">
        <v>340454.54545454547</v>
      </c>
      <c r="X183" s="151"/>
    </row>
    <row r="184" spans="1:24" ht="26.1" customHeight="1" x14ac:dyDescent="0.25">
      <c r="A184" s="205" t="s">
        <v>356</v>
      </c>
      <c r="B184" s="47" t="s">
        <v>6</v>
      </c>
      <c r="C184" s="335" t="s">
        <v>431</v>
      </c>
      <c r="D184" s="48" t="s">
        <v>76</v>
      </c>
      <c r="E184" s="204" t="s">
        <v>75</v>
      </c>
      <c r="F184" s="212">
        <f>+'x Políticas'!I79*'x Políticas'!$U79</f>
        <v>203243.24324324325</v>
      </c>
      <c r="G184" s="170">
        <f>+'x Políticas'!J79*'x Políticas'!$U79</f>
        <v>203243.24324324325</v>
      </c>
      <c r="H184" s="170">
        <f>+'x Políticas'!K79*'x Políticas'!$U79</f>
        <v>157117.11711711716</v>
      </c>
      <c r="I184" s="170">
        <f>+'x Políticas'!L79*'x Políticas'!$U79</f>
        <v>110990.99099099095</v>
      </c>
      <c r="J184" s="170">
        <f>+'x Políticas'!M79*'x Políticas'!$U79</f>
        <v>64864.864864864867</v>
      </c>
      <c r="K184" s="170">
        <f>+'x Políticas'!N79*'x Políticas'!$U79</f>
        <v>64864.864864864867</v>
      </c>
      <c r="L184" s="170">
        <f>+'x Políticas'!O79*'x Políticas'!$U79</f>
        <v>64864.864864864867</v>
      </c>
      <c r="M184" s="170">
        <f>+'x Políticas'!P79*'x Políticas'!$U79</f>
        <v>64864.864864864867</v>
      </c>
      <c r="N184" s="170">
        <f>+'x Políticas'!Q79*'x Políticas'!$U79</f>
        <v>64864.864864864867</v>
      </c>
      <c r="O184" s="213">
        <f>+'x Políticas'!R79*'x Políticas'!$U79</f>
        <v>998918.91891891893</v>
      </c>
      <c r="P184" s="330">
        <v>0.13513513513513514</v>
      </c>
      <c r="Q184" s="48" t="s">
        <v>424</v>
      </c>
      <c r="R184" s="341">
        <v>0.86486486486486491</v>
      </c>
      <c r="S184" s="216" t="s">
        <v>425</v>
      </c>
      <c r="T184" s="70"/>
      <c r="U184" s="220">
        <v>1102000</v>
      </c>
      <c r="V184" s="220" t="s">
        <v>426</v>
      </c>
      <c r="W184" s="221">
        <v>0</v>
      </c>
      <c r="X184" s="222"/>
    </row>
    <row r="185" spans="1:24" ht="26.1" customHeight="1" x14ac:dyDescent="0.25">
      <c r="A185" s="205"/>
      <c r="B185" s="47" t="s">
        <v>289</v>
      </c>
      <c r="C185" s="335" t="s">
        <v>432</v>
      </c>
      <c r="D185" s="48" t="s">
        <v>427</v>
      </c>
      <c r="E185" s="204" t="s">
        <v>433</v>
      </c>
      <c r="F185" s="212">
        <f>+'x Políticas'!I80*'x Políticas'!$U80</f>
        <v>0</v>
      </c>
      <c r="G185" s="170">
        <f>+'x Políticas'!J80*'x Políticas'!$U80</f>
        <v>0</v>
      </c>
      <c r="H185" s="170">
        <f>+'x Políticas'!K80*'x Políticas'!$U80</f>
        <v>0</v>
      </c>
      <c r="I185" s="170">
        <f>+'x Políticas'!L80*'x Políticas'!$U80</f>
        <v>0</v>
      </c>
      <c r="J185" s="170">
        <f>+'x Políticas'!M80*'x Políticas'!$U80</f>
        <v>0</v>
      </c>
      <c r="K185" s="170">
        <f>+'x Políticas'!N80*'x Políticas'!$U80</f>
        <v>0</v>
      </c>
      <c r="L185" s="170">
        <f>+'x Políticas'!O80*'x Políticas'!$U80</f>
        <v>0</v>
      </c>
      <c r="M185" s="170">
        <f>+'x Políticas'!P80*'x Políticas'!$U80</f>
        <v>0</v>
      </c>
      <c r="N185" s="170">
        <f>+'x Políticas'!Q80*'x Políticas'!$U80</f>
        <v>0</v>
      </c>
      <c r="O185" s="213">
        <f>+'x Políticas'!R80*'x Políticas'!$U80</f>
        <v>0</v>
      </c>
      <c r="P185" s="330">
        <v>0.13513513513513514</v>
      </c>
      <c r="Q185" s="48" t="s">
        <v>424</v>
      </c>
      <c r="R185" s="341">
        <v>0.86486486486486491</v>
      </c>
      <c r="S185" s="216" t="s">
        <v>429</v>
      </c>
      <c r="T185" s="70"/>
      <c r="U185" s="220">
        <v>238000</v>
      </c>
      <c r="V185" s="220" t="s">
        <v>430</v>
      </c>
      <c r="W185" s="221">
        <v>0</v>
      </c>
      <c r="X185" s="222"/>
    </row>
    <row r="186" spans="1:24" ht="26.1" customHeight="1" x14ac:dyDescent="0.25">
      <c r="A186" s="205" t="s">
        <v>357</v>
      </c>
      <c r="B186" s="47" t="s">
        <v>4</v>
      </c>
      <c r="C186" s="48" t="s">
        <v>404</v>
      </c>
      <c r="D186" s="48" t="s">
        <v>394</v>
      </c>
      <c r="E186" s="204" t="s">
        <v>77</v>
      </c>
      <c r="F186" s="212">
        <f>+'x Políticas'!I81*'x Políticas'!$U81</f>
        <v>490.90909090909088</v>
      </c>
      <c r="G186" s="170">
        <f>+'x Políticas'!J81*'x Políticas'!$U81</f>
        <v>1472.7272727272727</v>
      </c>
      <c r="H186" s="170">
        <f>+'x Políticas'!K81*'x Políticas'!$U81</f>
        <v>490.90909090909088</v>
      </c>
      <c r="I186" s="170">
        <f>+'x Políticas'!L81*'x Políticas'!$U81</f>
        <v>490.90909090909088</v>
      </c>
      <c r="J186" s="170">
        <f>+'x Políticas'!M81*'x Políticas'!$U81</f>
        <v>0</v>
      </c>
      <c r="K186" s="170">
        <f>+'x Políticas'!N81*'x Políticas'!$U81</f>
        <v>490.90909090909088</v>
      </c>
      <c r="L186" s="170">
        <f>+'x Políticas'!O81*'x Políticas'!$U81</f>
        <v>0</v>
      </c>
      <c r="M186" s="170">
        <f>+'x Políticas'!P81*'x Políticas'!$U81</f>
        <v>490.90909090909088</v>
      </c>
      <c r="N186" s="170">
        <f>+'x Políticas'!Q81*'x Políticas'!$U81</f>
        <v>0</v>
      </c>
      <c r="O186" s="213">
        <f>+'x Políticas'!R81*'x Políticas'!$U81</f>
        <v>3927.272727272727</v>
      </c>
      <c r="P186" s="270">
        <v>0.7</v>
      </c>
      <c r="Q186" s="48"/>
      <c r="R186" s="215">
        <v>0.3</v>
      </c>
      <c r="S186" s="243" t="s">
        <v>386</v>
      </c>
      <c r="T186" s="70"/>
      <c r="U186" s="71"/>
      <c r="V186" s="71"/>
      <c r="W186" s="221">
        <v>340454.54545454547</v>
      </c>
      <c r="X186" s="222"/>
    </row>
    <row r="187" spans="1:24" ht="26.1" customHeight="1" x14ac:dyDescent="0.25">
      <c r="A187" s="144" t="s">
        <v>356</v>
      </c>
      <c r="B187" s="59" t="s">
        <v>2</v>
      </c>
      <c r="C187" s="145"/>
      <c r="D187" s="60"/>
      <c r="E187" s="143" t="s">
        <v>78</v>
      </c>
      <c r="F187" s="157">
        <f>SUM(F188:F189)</f>
        <v>0</v>
      </c>
      <c r="G187" s="152">
        <f>SUM(G188:G189)</f>
        <v>0</v>
      </c>
      <c r="H187" s="152">
        <f t="shared" ref="H187:N187" si="73">SUM(H188:H189)</f>
        <v>0</v>
      </c>
      <c r="I187" s="152">
        <f t="shared" si="73"/>
        <v>0</v>
      </c>
      <c r="J187" s="152">
        <f t="shared" si="73"/>
        <v>0</v>
      </c>
      <c r="K187" s="152">
        <f t="shared" si="73"/>
        <v>0</v>
      </c>
      <c r="L187" s="152">
        <f t="shared" si="73"/>
        <v>0</v>
      </c>
      <c r="M187" s="152">
        <f t="shared" si="73"/>
        <v>0</v>
      </c>
      <c r="N187" s="152">
        <f t="shared" si="73"/>
        <v>0</v>
      </c>
      <c r="O187" s="156">
        <f>SUM(F187:N187)</f>
        <v>0</v>
      </c>
      <c r="P187" s="157">
        <v>0</v>
      </c>
      <c r="Q187" s="152"/>
      <c r="R187" s="152">
        <v>0</v>
      </c>
      <c r="S187" s="159"/>
      <c r="T187" s="158"/>
      <c r="U187" s="160">
        <v>84000</v>
      </c>
      <c r="V187" s="145"/>
      <c r="W187" s="161">
        <v>24000</v>
      </c>
      <c r="X187" s="151"/>
    </row>
    <row r="188" spans="1:24" ht="26.1" customHeight="1" x14ac:dyDescent="0.25">
      <c r="A188" s="205" t="s">
        <v>356</v>
      </c>
      <c r="B188" s="47" t="s">
        <v>2</v>
      </c>
      <c r="C188" s="48" t="s">
        <v>403</v>
      </c>
      <c r="D188" s="48" t="s">
        <v>393</v>
      </c>
      <c r="E188" s="204" t="s">
        <v>79</v>
      </c>
      <c r="F188" s="212">
        <f>+'x Políticas'!I83*'x Políticas'!$U83</f>
        <v>0</v>
      </c>
      <c r="G188" s="170">
        <f>+'x Políticas'!J83*'x Políticas'!$U83</f>
        <v>0</v>
      </c>
      <c r="H188" s="170">
        <f>+'x Políticas'!K83*'x Políticas'!$U83</f>
        <v>0</v>
      </c>
      <c r="I188" s="170">
        <f>+'x Políticas'!L83*'x Políticas'!$U83</f>
        <v>0</v>
      </c>
      <c r="J188" s="170">
        <f>+'x Políticas'!M83*'x Políticas'!$U83</f>
        <v>0</v>
      </c>
      <c r="K188" s="170">
        <f>+'x Políticas'!N83*'x Políticas'!$U83</f>
        <v>0</v>
      </c>
      <c r="L188" s="170">
        <f>+'x Políticas'!O83*'x Políticas'!$U83</f>
        <v>0</v>
      </c>
      <c r="M188" s="170">
        <f>+'x Políticas'!P83*'x Políticas'!$U83</f>
        <v>0</v>
      </c>
      <c r="N188" s="170">
        <f>+'x Políticas'!Q83*'x Políticas'!$U83</f>
        <v>0</v>
      </c>
      <c r="O188" s="213">
        <f>+'x Políticas'!R83*'x Políticas'!$U83</f>
        <v>0</v>
      </c>
      <c r="P188" s="245"/>
      <c r="Q188" s="48"/>
      <c r="R188" s="48"/>
      <c r="S188" s="243"/>
      <c r="T188" s="70"/>
      <c r="U188" s="220">
        <v>52000</v>
      </c>
      <c r="V188" s="71"/>
      <c r="W188" s="221">
        <v>2000</v>
      </c>
      <c r="X188" s="222"/>
    </row>
    <row r="189" spans="1:24" ht="26.1" customHeight="1" x14ac:dyDescent="0.25">
      <c r="A189" s="205" t="s">
        <v>357</v>
      </c>
      <c r="B189" s="47" t="s">
        <v>2</v>
      </c>
      <c r="C189" s="48" t="s">
        <v>403</v>
      </c>
      <c r="D189" s="48" t="s">
        <v>393</v>
      </c>
      <c r="E189" s="204" t="s">
        <v>80</v>
      </c>
      <c r="F189" s="212">
        <f>+'x Políticas'!I84*'x Políticas'!$U84</f>
        <v>0</v>
      </c>
      <c r="G189" s="170">
        <f>+'x Políticas'!J84*'x Políticas'!$U84</f>
        <v>0</v>
      </c>
      <c r="H189" s="170">
        <f>+'x Políticas'!K84*'x Políticas'!$U84</f>
        <v>0</v>
      </c>
      <c r="I189" s="170">
        <f>+'x Políticas'!L84*'x Políticas'!$U84</f>
        <v>0</v>
      </c>
      <c r="J189" s="170">
        <f>+'x Políticas'!M84*'x Políticas'!$U84</f>
        <v>0</v>
      </c>
      <c r="K189" s="170">
        <f>+'x Políticas'!N84*'x Políticas'!$U84</f>
        <v>0</v>
      </c>
      <c r="L189" s="170">
        <f>+'x Políticas'!O84*'x Políticas'!$U84</f>
        <v>0</v>
      </c>
      <c r="M189" s="170">
        <f>+'x Políticas'!P84*'x Políticas'!$U84</f>
        <v>0</v>
      </c>
      <c r="N189" s="170">
        <f>+'x Políticas'!Q84*'x Políticas'!$U84</f>
        <v>0</v>
      </c>
      <c r="O189" s="213">
        <f>+'x Políticas'!R84*'x Políticas'!$U84</f>
        <v>0</v>
      </c>
      <c r="P189" s="245"/>
      <c r="Q189" s="48"/>
      <c r="R189" s="48"/>
      <c r="S189" s="243"/>
      <c r="T189" s="70"/>
      <c r="U189" s="220">
        <v>32000</v>
      </c>
      <c r="V189" s="71" t="s">
        <v>469</v>
      </c>
      <c r="W189" s="221">
        <v>22000</v>
      </c>
      <c r="X189" s="222"/>
    </row>
    <row r="190" spans="1:24" ht="26.1" customHeight="1" x14ac:dyDescent="0.25">
      <c r="A190" s="144" t="s">
        <v>357</v>
      </c>
      <c r="B190" s="59" t="s">
        <v>2</v>
      </c>
      <c r="C190" s="145"/>
      <c r="D190" s="60"/>
      <c r="E190" s="143" t="s">
        <v>82</v>
      </c>
      <c r="F190" s="157">
        <f>SUM(F191)</f>
        <v>0</v>
      </c>
      <c r="G190" s="152">
        <f>SUM(G191)</f>
        <v>0</v>
      </c>
      <c r="H190" s="152">
        <f t="shared" ref="H190:N190" si="74">SUM(H191)</f>
        <v>0</v>
      </c>
      <c r="I190" s="152">
        <f t="shared" si="74"/>
        <v>0</v>
      </c>
      <c r="J190" s="152">
        <f t="shared" si="74"/>
        <v>0</v>
      </c>
      <c r="K190" s="152">
        <f t="shared" si="74"/>
        <v>0</v>
      </c>
      <c r="L190" s="152">
        <f t="shared" si="74"/>
        <v>0</v>
      </c>
      <c r="M190" s="152">
        <f t="shared" si="74"/>
        <v>0</v>
      </c>
      <c r="N190" s="152">
        <f t="shared" si="74"/>
        <v>0</v>
      </c>
      <c r="O190" s="156">
        <f>SUM(F190:N190)</f>
        <v>0</v>
      </c>
      <c r="P190" s="157">
        <v>0</v>
      </c>
      <c r="Q190" s="152"/>
      <c r="R190" s="152">
        <v>0</v>
      </c>
      <c r="S190" s="159"/>
      <c r="T190" s="158"/>
      <c r="U190" s="160">
        <v>45000</v>
      </c>
      <c r="V190" s="145"/>
      <c r="W190" s="161">
        <v>0</v>
      </c>
      <c r="X190" s="151"/>
    </row>
    <row r="191" spans="1:24" ht="26.1" customHeight="1" x14ac:dyDescent="0.25">
      <c r="A191" s="205" t="s">
        <v>357</v>
      </c>
      <c r="B191" s="47" t="s">
        <v>2</v>
      </c>
      <c r="C191" s="48" t="s">
        <v>403</v>
      </c>
      <c r="D191" s="48" t="s">
        <v>393</v>
      </c>
      <c r="E191" s="204" t="s">
        <v>83</v>
      </c>
      <c r="F191" s="212">
        <f>+'x Políticas'!I86*'x Políticas'!$U86</f>
        <v>0</v>
      </c>
      <c r="G191" s="170">
        <f>+'x Políticas'!J86*'x Políticas'!$U86</f>
        <v>0</v>
      </c>
      <c r="H191" s="170">
        <f>+'x Políticas'!K86*'x Políticas'!$U86</f>
        <v>0</v>
      </c>
      <c r="I191" s="170">
        <f>+'x Políticas'!L86*'x Políticas'!$U86</f>
        <v>0</v>
      </c>
      <c r="J191" s="170">
        <f>+'x Políticas'!M86*'x Políticas'!$U86</f>
        <v>0</v>
      </c>
      <c r="K191" s="170">
        <f>+'x Políticas'!N86*'x Políticas'!$U86</f>
        <v>0</v>
      </c>
      <c r="L191" s="170">
        <f>+'x Políticas'!O86*'x Políticas'!$U86</f>
        <v>0</v>
      </c>
      <c r="M191" s="170">
        <f>+'x Políticas'!P86*'x Políticas'!$U86</f>
        <v>0</v>
      </c>
      <c r="N191" s="170">
        <f>+'x Políticas'!Q86*'x Políticas'!$U86</f>
        <v>0</v>
      </c>
      <c r="O191" s="213">
        <f>+'x Políticas'!R86*'x Políticas'!$U86</f>
        <v>0</v>
      </c>
      <c r="P191" s="245"/>
      <c r="Q191" s="48"/>
      <c r="R191" s="48"/>
      <c r="S191" s="243"/>
      <c r="T191" s="70"/>
      <c r="U191" s="220">
        <v>45000</v>
      </c>
      <c r="V191" s="71" t="s">
        <v>345</v>
      </c>
      <c r="W191" s="221">
        <v>0</v>
      </c>
      <c r="X191" s="222"/>
    </row>
    <row r="192" spans="1:24" ht="26.1" customHeight="1" x14ac:dyDescent="0.25">
      <c r="A192" s="144" t="s">
        <v>356</v>
      </c>
      <c r="B192" s="59" t="s">
        <v>490</v>
      </c>
      <c r="C192" s="145"/>
      <c r="D192" s="60"/>
      <c r="E192" s="143" t="s">
        <v>84</v>
      </c>
      <c r="F192" s="157">
        <f>SUM(F193:F195)</f>
        <v>0</v>
      </c>
      <c r="G192" s="152">
        <f>SUM(G193:G195)</f>
        <v>0</v>
      </c>
      <c r="H192" s="152">
        <f t="shared" ref="H192:N192" si="75">SUM(H193:H195)</f>
        <v>0</v>
      </c>
      <c r="I192" s="152">
        <f t="shared" si="75"/>
        <v>0</v>
      </c>
      <c r="J192" s="152">
        <f t="shared" si="75"/>
        <v>0</v>
      </c>
      <c r="K192" s="152">
        <f t="shared" si="75"/>
        <v>0</v>
      </c>
      <c r="L192" s="152">
        <f t="shared" si="75"/>
        <v>0</v>
      </c>
      <c r="M192" s="152">
        <f t="shared" si="75"/>
        <v>0</v>
      </c>
      <c r="N192" s="152">
        <f t="shared" si="75"/>
        <v>0</v>
      </c>
      <c r="O192" s="156">
        <f>SUM(F192:N192)</f>
        <v>0</v>
      </c>
      <c r="P192" s="157">
        <v>360000</v>
      </c>
      <c r="Q192" s="145"/>
      <c r="R192" s="161">
        <v>0</v>
      </c>
      <c r="S192" s="159"/>
      <c r="T192" s="158"/>
      <c r="U192" s="160">
        <v>270000</v>
      </c>
      <c r="V192" s="145"/>
      <c r="W192" s="152">
        <v>19090.909090909092</v>
      </c>
      <c r="X192" s="151"/>
    </row>
    <row r="193" spans="1:24" ht="26.1" customHeight="1" x14ac:dyDescent="0.25">
      <c r="A193" s="205" t="s">
        <v>356</v>
      </c>
      <c r="B193" s="47" t="s">
        <v>4</v>
      </c>
      <c r="C193" s="48" t="s">
        <v>404</v>
      </c>
      <c r="D193" s="48" t="s">
        <v>394</v>
      </c>
      <c r="E193" s="204" t="s">
        <v>470</v>
      </c>
      <c r="F193" s="212">
        <f>+'x Políticas'!I88*'x Políticas'!$U88</f>
        <v>0</v>
      </c>
      <c r="G193" s="170">
        <f>+'x Políticas'!J88*'x Políticas'!$U88</f>
        <v>0</v>
      </c>
      <c r="H193" s="170">
        <f>+'x Políticas'!K88*'x Políticas'!$U88</f>
        <v>0</v>
      </c>
      <c r="I193" s="170">
        <f>+'x Políticas'!L88*'x Políticas'!$U88</f>
        <v>0</v>
      </c>
      <c r="J193" s="170">
        <f>+'x Políticas'!M88*'x Políticas'!$U88</f>
        <v>0</v>
      </c>
      <c r="K193" s="170">
        <f>+'x Políticas'!N88*'x Políticas'!$U88</f>
        <v>0</v>
      </c>
      <c r="L193" s="170">
        <f>+'x Políticas'!O88*'x Políticas'!$U88</f>
        <v>0</v>
      </c>
      <c r="M193" s="170">
        <f>+'x Políticas'!P88*'x Políticas'!$U88</f>
        <v>0</v>
      </c>
      <c r="N193" s="170">
        <f>+'x Políticas'!Q88*'x Políticas'!$U88</f>
        <v>0</v>
      </c>
      <c r="O193" s="213">
        <f>+'x Políticas'!R88*'x Políticas'!$U88</f>
        <v>0</v>
      </c>
      <c r="P193" s="242">
        <v>1</v>
      </c>
      <c r="Q193" s="48"/>
      <c r="R193" s="48"/>
      <c r="S193" s="243"/>
      <c r="T193" s="70"/>
      <c r="U193" s="71"/>
      <c r="V193" s="71"/>
      <c r="W193" s="221">
        <v>119090.90909090909</v>
      </c>
      <c r="X193" s="222"/>
    </row>
    <row r="194" spans="1:24" ht="26.1" customHeight="1" x14ac:dyDescent="0.25">
      <c r="A194" s="205" t="s">
        <v>357</v>
      </c>
      <c r="B194" s="47" t="s">
        <v>1</v>
      </c>
      <c r="C194" s="255"/>
      <c r="D194" s="48" t="s">
        <v>87</v>
      </c>
      <c r="E194" s="312" t="s">
        <v>86</v>
      </c>
      <c r="F194" s="212">
        <f>+'x Políticas'!I89*'x Políticas'!$U89</f>
        <v>0</v>
      </c>
      <c r="G194" s="170">
        <f>+'x Políticas'!J89*'x Políticas'!$U89</f>
        <v>0</v>
      </c>
      <c r="H194" s="170">
        <f>+'x Políticas'!K89*'x Políticas'!$U89</f>
        <v>0</v>
      </c>
      <c r="I194" s="170">
        <f>+'x Políticas'!L89*'x Políticas'!$U89</f>
        <v>0</v>
      </c>
      <c r="J194" s="170">
        <f>+'x Políticas'!M89*'x Políticas'!$U89</f>
        <v>0</v>
      </c>
      <c r="K194" s="170">
        <f>+'x Políticas'!N89*'x Políticas'!$U89</f>
        <v>0</v>
      </c>
      <c r="L194" s="170">
        <f>+'x Políticas'!O89*'x Políticas'!$U89</f>
        <v>0</v>
      </c>
      <c r="M194" s="170">
        <f>+'x Políticas'!P89*'x Políticas'!$U89</f>
        <v>0</v>
      </c>
      <c r="N194" s="170">
        <f>+'x Políticas'!Q89*'x Políticas'!$U89</f>
        <v>0</v>
      </c>
      <c r="O194" s="213">
        <f>+'x Políticas'!R89*'x Políticas'!$U89</f>
        <v>0</v>
      </c>
      <c r="P194" s="338"/>
      <c r="Q194" s="255"/>
      <c r="R194" s="255"/>
      <c r="S194" s="336"/>
      <c r="T194" s="338"/>
      <c r="U194" s="220">
        <v>80000</v>
      </c>
      <c r="V194" s="255"/>
      <c r="W194" s="221">
        <v>0</v>
      </c>
      <c r="X194" s="333"/>
    </row>
    <row r="195" spans="1:24" ht="26.1" customHeight="1" x14ac:dyDescent="0.25">
      <c r="A195" s="205" t="s">
        <v>356</v>
      </c>
      <c r="B195" s="47" t="s">
        <v>2</v>
      </c>
      <c r="C195" s="48" t="s">
        <v>403</v>
      </c>
      <c r="D195" s="48" t="s">
        <v>393</v>
      </c>
      <c r="E195" s="204" t="s">
        <v>88</v>
      </c>
      <c r="F195" s="212">
        <f>+'x Políticas'!I90*'x Políticas'!$U90</f>
        <v>0</v>
      </c>
      <c r="G195" s="170">
        <f>+'x Políticas'!J90*'x Políticas'!$U90</f>
        <v>0</v>
      </c>
      <c r="H195" s="170">
        <f>+'x Políticas'!K90*'x Políticas'!$U90</f>
        <v>0</v>
      </c>
      <c r="I195" s="170">
        <f>+'x Políticas'!L90*'x Políticas'!$U90</f>
        <v>0</v>
      </c>
      <c r="J195" s="170">
        <f>+'x Políticas'!M90*'x Políticas'!$U90</f>
        <v>0</v>
      </c>
      <c r="K195" s="170">
        <f>+'x Políticas'!N90*'x Políticas'!$U90</f>
        <v>0</v>
      </c>
      <c r="L195" s="170">
        <f>+'x Políticas'!O90*'x Políticas'!$U90</f>
        <v>0</v>
      </c>
      <c r="M195" s="170">
        <f>+'x Políticas'!P90*'x Políticas'!$U90</f>
        <v>0</v>
      </c>
      <c r="N195" s="170">
        <f>+'x Políticas'!Q90*'x Políticas'!$U90</f>
        <v>0</v>
      </c>
      <c r="O195" s="213">
        <f>+'x Políticas'!R90*'x Políticas'!$U90</f>
        <v>0</v>
      </c>
      <c r="P195" s="245"/>
      <c r="Q195" s="48"/>
      <c r="R195" s="48"/>
      <c r="S195" s="243"/>
      <c r="T195" s="70"/>
      <c r="U195" s="220">
        <v>190000</v>
      </c>
      <c r="V195" s="71" t="s">
        <v>347</v>
      </c>
      <c r="W195" s="221">
        <v>-100000</v>
      </c>
      <c r="X195" s="222"/>
    </row>
    <row r="196" spans="1:24" ht="26.1" customHeight="1" x14ac:dyDescent="0.25">
      <c r="A196" s="144" t="s">
        <v>356</v>
      </c>
      <c r="B196" s="59" t="s">
        <v>2</v>
      </c>
      <c r="C196" s="145"/>
      <c r="D196" s="60"/>
      <c r="E196" s="143" t="s">
        <v>89</v>
      </c>
      <c r="F196" s="157">
        <f>SUM(F197:F199)</f>
        <v>0</v>
      </c>
      <c r="G196" s="152">
        <f>SUM(G197:G199)</f>
        <v>0</v>
      </c>
      <c r="H196" s="152">
        <f t="shared" ref="H196:N196" si="76">SUM(H197:H199)</f>
        <v>0</v>
      </c>
      <c r="I196" s="152">
        <f t="shared" si="76"/>
        <v>0</v>
      </c>
      <c r="J196" s="152">
        <f t="shared" si="76"/>
        <v>0</v>
      </c>
      <c r="K196" s="152">
        <f t="shared" si="76"/>
        <v>0</v>
      </c>
      <c r="L196" s="152">
        <f t="shared" si="76"/>
        <v>0</v>
      </c>
      <c r="M196" s="152">
        <f t="shared" si="76"/>
        <v>0</v>
      </c>
      <c r="N196" s="152">
        <f t="shared" si="76"/>
        <v>0</v>
      </c>
      <c r="O196" s="156">
        <f>SUM(F196:N196)</f>
        <v>0</v>
      </c>
      <c r="P196" s="157">
        <v>0</v>
      </c>
      <c r="Q196" s="145"/>
      <c r="R196" s="161">
        <v>0</v>
      </c>
      <c r="S196" s="159"/>
      <c r="T196" s="158"/>
      <c r="U196" s="160">
        <v>238000</v>
      </c>
      <c r="V196" s="145"/>
      <c r="W196" s="152">
        <v>646412.88194341084</v>
      </c>
      <c r="X196" s="151"/>
    </row>
    <row r="197" spans="1:24" ht="26.1" customHeight="1" x14ac:dyDescent="0.25">
      <c r="A197" s="205" t="s">
        <v>357</v>
      </c>
      <c r="B197" s="47" t="s">
        <v>2</v>
      </c>
      <c r="C197" s="48" t="s">
        <v>403</v>
      </c>
      <c r="D197" s="48" t="s">
        <v>393</v>
      </c>
      <c r="E197" s="204" t="s">
        <v>90</v>
      </c>
      <c r="F197" s="212">
        <f>+'x Políticas'!I92*'x Políticas'!$U92</f>
        <v>0</v>
      </c>
      <c r="G197" s="170">
        <f>+'x Políticas'!J92*'x Políticas'!$U92</f>
        <v>0</v>
      </c>
      <c r="H197" s="170">
        <f>+'x Políticas'!K92*'x Políticas'!$U92</f>
        <v>0</v>
      </c>
      <c r="I197" s="170">
        <f>+'x Políticas'!L92*'x Políticas'!$U92</f>
        <v>0</v>
      </c>
      <c r="J197" s="170">
        <f>+'x Políticas'!M92*'x Políticas'!$U92</f>
        <v>0</v>
      </c>
      <c r="K197" s="170">
        <f>+'x Políticas'!N92*'x Políticas'!$U92</f>
        <v>0</v>
      </c>
      <c r="L197" s="170">
        <f>+'x Políticas'!O92*'x Políticas'!$U92</f>
        <v>0</v>
      </c>
      <c r="M197" s="170">
        <f>+'x Políticas'!P92*'x Políticas'!$U92</f>
        <v>0</v>
      </c>
      <c r="N197" s="170">
        <f>+'x Políticas'!Q92*'x Políticas'!$U92</f>
        <v>0</v>
      </c>
      <c r="O197" s="213">
        <f>+'x Políticas'!R92*'x Políticas'!$U92</f>
        <v>0</v>
      </c>
      <c r="P197" s="245"/>
      <c r="Q197" s="48"/>
      <c r="R197" s="48"/>
      <c r="S197" s="243"/>
      <c r="T197" s="70"/>
      <c r="U197" s="71"/>
      <c r="V197" s="71"/>
      <c r="W197" s="221">
        <v>9000</v>
      </c>
      <c r="X197" s="222"/>
    </row>
    <row r="198" spans="1:24" ht="26.1" customHeight="1" x14ac:dyDescent="0.25">
      <c r="A198" s="205" t="s">
        <v>356</v>
      </c>
      <c r="B198" s="47" t="s">
        <v>2</v>
      </c>
      <c r="C198" s="48" t="s">
        <v>403</v>
      </c>
      <c r="D198" s="48" t="s">
        <v>393</v>
      </c>
      <c r="E198" s="204" t="s">
        <v>91</v>
      </c>
      <c r="F198" s="212">
        <f>+'x Políticas'!I93*'x Políticas'!$U93</f>
        <v>0</v>
      </c>
      <c r="G198" s="170">
        <f>+'x Políticas'!J93*'x Políticas'!$U93</f>
        <v>0</v>
      </c>
      <c r="H198" s="170">
        <f>+'x Políticas'!K93*'x Políticas'!$U93</f>
        <v>0</v>
      </c>
      <c r="I198" s="170">
        <f>+'x Políticas'!L93*'x Políticas'!$U93</f>
        <v>0</v>
      </c>
      <c r="J198" s="170">
        <f>+'x Políticas'!M93*'x Políticas'!$U93</f>
        <v>0</v>
      </c>
      <c r="K198" s="170">
        <f>+'x Políticas'!N93*'x Políticas'!$U93</f>
        <v>0</v>
      </c>
      <c r="L198" s="170">
        <f>+'x Políticas'!O93*'x Políticas'!$U93</f>
        <v>0</v>
      </c>
      <c r="M198" s="170">
        <f>+'x Políticas'!P93*'x Políticas'!$U93</f>
        <v>0</v>
      </c>
      <c r="N198" s="170">
        <f>+'x Políticas'!Q93*'x Políticas'!$U93</f>
        <v>0</v>
      </c>
      <c r="O198" s="213">
        <f>+'x Políticas'!R93*'x Políticas'!$U93</f>
        <v>0</v>
      </c>
      <c r="P198" s="245"/>
      <c r="Q198" s="48"/>
      <c r="R198" s="48"/>
      <c r="S198" s="243"/>
      <c r="T198" s="70"/>
      <c r="U198" s="71"/>
      <c r="V198" s="71"/>
      <c r="W198" s="221">
        <v>659412.88194341084</v>
      </c>
      <c r="X198" s="222"/>
    </row>
    <row r="199" spans="1:24" ht="26.1" customHeight="1" x14ac:dyDescent="0.25">
      <c r="A199" s="205" t="s">
        <v>356</v>
      </c>
      <c r="B199" s="47" t="s">
        <v>2</v>
      </c>
      <c r="C199" s="48" t="s">
        <v>403</v>
      </c>
      <c r="D199" s="48" t="s">
        <v>393</v>
      </c>
      <c r="E199" s="204" t="s">
        <v>466</v>
      </c>
      <c r="F199" s="212">
        <f>+'x Políticas'!I94*'x Políticas'!$U94</f>
        <v>0</v>
      </c>
      <c r="G199" s="170">
        <f>+'x Políticas'!J94*'x Políticas'!$U94</f>
        <v>0</v>
      </c>
      <c r="H199" s="170">
        <f>+'x Políticas'!K94*'x Políticas'!$U94</f>
        <v>0</v>
      </c>
      <c r="I199" s="170">
        <f>+'x Políticas'!L94*'x Políticas'!$U94</f>
        <v>0</v>
      </c>
      <c r="J199" s="170">
        <f>+'x Políticas'!M94*'x Políticas'!$U94</f>
        <v>0</v>
      </c>
      <c r="K199" s="170">
        <f>+'x Políticas'!N94*'x Políticas'!$U94</f>
        <v>0</v>
      </c>
      <c r="L199" s="170">
        <f>+'x Políticas'!O94*'x Políticas'!$U94</f>
        <v>0</v>
      </c>
      <c r="M199" s="170">
        <f>+'x Políticas'!P94*'x Políticas'!$U94</f>
        <v>0</v>
      </c>
      <c r="N199" s="170">
        <f>+'x Políticas'!Q94*'x Políticas'!$U94</f>
        <v>0</v>
      </c>
      <c r="O199" s="213">
        <f>+'x Políticas'!R94*'x Políticas'!$U94</f>
        <v>0</v>
      </c>
      <c r="P199" s="245"/>
      <c r="Q199" s="48"/>
      <c r="R199" s="48"/>
      <c r="S199" s="243"/>
      <c r="T199" s="70"/>
      <c r="U199" s="220">
        <v>238000</v>
      </c>
      <c r="V199" s="71" t="s">
        <v>351</v>
      </c>
      <c r="W199" s="221">
        <v>-22000</v>
      </c>
      <c r="X199" s="222"/>
    </row>
    <row r="200" spans="1:24" ht="26.1" customHeight="1" x14ac:dyDescent="0.25">
      <c r="A200" s="144" t="s">
        <v>356</v>
      </c>
      <c r="B200" s="59" t="s">
        <v>2</v>
      </c>
      <c r="C200" s="145"/>
      <c r="D200" s="60"/>
      <c r="E200" s="143" t="s">
        <v>93</v>
      </c>
      <c r="F200" s="157">
        <f>SUM(F201)</f>
        <v>0</v>
      </c>
      <c r="G200" s="152">
        <f>SUM(G201)</f>
        <v>0</v>
      </c>
      <c r="H200" s="152">
        <f t="shared" ref="H200:N200" si="77">SUM(H201)</f>
        <v>0</v>
      </c>
      <c r="I200" s="152">
        <f t="shared" si="77"/>
        <v>0</v>
      </c>
      <c r="J200" s="152">
        <f t="shared" si="77"/>
        <v>0</v>
      </c>
      <c r="K200" s="152">
        <f t="shared" si="77"/>
        <v>0</v>
      </c>
      <c r="L200" s="152">
        <f t="shared" si="77"/>
        <v>0</v>
      </c>
      <c r="M200" s="152">
        <f t="shared" si="77"/>
        <v>0</v>
      </c>
      <c r="N200" s="152">
        <f t="shared" si="77"/>
        <v>0</v>
      </c>
      <c r="O200" s="156">
        <f>SUM(F200:N200)</f>
        <v>0</v>
      </c>
      <c r="P200" s="157">
        <v>0</v>
      </c>
      <c r="Q200" s="152"/>
      <c r="R200" s="152">
        <v>0</v>
      </c>
      <c r="S200" s="159"/>
      <c r="T200" s="158"/>
      <c r="U200" s="160">
        <v>0</v>
      </c>
      <c r="V200" s="145"/>
      <c r="W200" s="161">
        <v>155000</v>
      </c>
      <c r="X200" s="151"/>
    </row>
    <row r="201" spans="1:24" ht="26.1" customHeight="1" x14ac:dyDescent="0.25">
      <c r="A201" s="205" t="s">
        <v>356</v>
      </c>
      <c r="B201" s="47" t="s">
        <v>2</v>
      </c>
      <c r="C201" s="48" t="s">
        <v>403</v>
      </c>
      <c r="D201" s="48" t="s">
        <v>393</v>
      </c>
      <c r="E201" s="204" t="s">
        <v>94</v>
      </c>
      <c r="F201" s="212">
        <f>+'x Políticas'!I96*'x Políticas'!$U96</f>
        <v>0</v>
      </c>
      <c r="G201" s="170">
        <f>+'x Políticas'!J96*'x Políticas'!$U96</f>
        <v>0</v>
      </c>
      <c r="H201" s="170">
        <f>+'x Políticas'!K96*'x Políticas'!$U96</f>
        <v>0</v>
      </c>
      <c r="I201" s="170">
        <f>+'x Políticas'!L96*'x Políticas'!$U96</f>
        <v>0</v>
      </c>
      <c r="J201" s="170">
        <f>+'x Políticas'!M96*'x Políticas'!$U96</f>
        <v>0</v>
      </c>
      <c r="K201" s="170">
        <f>+'x Políticas'!N96*'x Políticas'!$U96</f>
        <v>0</v>
      </c>
      <c r="L201" s="170">
        <f>+'x Políticas'!O96*'x Políticas'!$U96</f>
        <v>0</v>
      </c>
      <c r="M201" s="170">
        <f>+'x Políticas'!P96*'x Políticas'!$U96</f>
        <v>0</v>
      </c>
      <c r="N201" s="170">
        <f>+'x Políticas'!Q96*'x Políticas'!$U96</f>
        <v>0</v>
      </c>
      <c r="O201" s="213">
        <f>+'x Políticas'!R96*'x Políticas'!$U96</f>
        <v>0</v>
      </c>
      <c r="P201" s="245"/>
      <c r="Q201" s="48"/>
      <c r="R201" s="48"/>
      <c r="S201" s="243"/>
      <c r="T201" s="70"/>
      <c r="U201" s="76"/>
      <c r="V201" s="76"/>
      <c r="W201" s="221">
        <v>155000</v>
      </c>
      <c r="X201" s="222"/>
    </row>
    <row r="202" spans="1:24" ht="26.1" customHeight="1" x14ac:dyDescent="0.25">
      <c r="A202" s="144" t="s">
        <v>355</v>
      </c>
      <c r="B202" s="59" t="s">
        <v>2</v>
      </c>
      <c r="C202" s="145"/>
      <c r="D202" s="60"/>
      <c r="E202" s="143" t="s">
        <v>95</v>
      </c>
      <c r="F202" s="157">
        <f>SUM(F203)</f>
        <v>0</v>
      </c>
      <c r="G202" s="152">
        <f>SUM(G203)</f>
        <v>0</v>
      </c>
      <c r="H202" s="152">
        <f t="shared" ref="H202:N202" si="78">SUM(H203)</f>
        <v>0</v>
      </c>
      <c r="I202" s="152">
        <f t="shared" si="78"/>
        <v>0</v>
      </c>
      <c r="J202" s="152">
        <f t="shared" si="78"/>
        <v>0</v>
      </c>
      <c r="K202" s="152">
        <f t="shared" si="78"/>
        <v>0</v>
      </c>
      <c r="L202" s="152">
        <f t="shared" si="78"/>
        <v>0</v>
      </c>
      <c r="M202" s="152">
        <f t="shared" si="78"/>
        <v>0</v>
      </c>
      <c r="N202" s="152">
        <f t="shared" si="78"/>
        <v>0</v>
      </c>
      <c r="O202" s="156">
        <f>SUM(F202:N202)</f>
        <v>0</v>
      </c>
      <c r="P202" s="157">
        <v>0</v>
      </c>
      <c r="Q202" s="152"/>
      <c r="R202" s="152">
        <v>0</v>
      </c>
      <c r="S202" s="159"/>
      <c r="T202" s="158"/>
      <c r="U202" s="160">
        <v>0</v>
      </c>
      <c r="V202" s="145"/>
      <c r="W202" s="161">
        <v>37500</v>
      </c>
      <c r="X202" s="151"/>
    </row>
    <row r="203" spans="1:24" ht="26.1" customHeight="1" x14ac:dyDescent="0.25">
      <c r="A203" s="205" t="s">
        <v>355</v>
      </c>
      <c r="B203" s="47" t="s">
        <v>2</v>
      </c>
      <c r="C203" s="48" t="s">
        <v>403</v>
      </c>
      <c r="D203" s="48" t="s">
        <v>393</v>
      </c>
      <c r="E203" s="204" t="s">
        <v>96</v>
      </c>
      <c r="F203" s="212">
        <f>+'x Políticas'!I98*'x Políticas'!$U98</f>
        <v>0</v>
      </c>
      <c r="G203" s="170">
        <f>+'x Políticas'!J98*'x Políticas'!$U98</f>
        <v>0</v>
      </c>
      <c r="H203" s="170">
        <f>+'x Políticas'!K98*'x Políticas'!$U98</f>
        <v>0</v>
      </c>
      <c r="I203" s="170">
        <f>+'x Políticas'!L98*'x Políticas'!$U98</f>
        <v>0</v>
      </c>
      <c r="J203" s="170">
        <f>+'x Políticas'!M98*'x Políticas'!$U98</f>
        <v>0</v>
      </c>
      <c r="K203" s="170">
        <f>+'x Políticas'!N98*'x Políticas'!$U98</f>
        <v>0</v>
      </c>
      <c r="L203" s="170">
        <f>+'x Políticas'!O98*'x Políticas'!$U98</f>
        <v>0</v>
      </c>
      <c r="M203" s="170">
        <f>+'x Políticas'!P98*'x Políticas'!$U98</f>
        <v>0</v>
      </c>
      <c r="N203" s="170">
        <f>+'x Políticas'!Q98*'x Políticas'!$U98</f>
        <v>0</v>
      </c>
      <c r="O203" s="213">
        <f>+'x Políticas'!R98*'x Políticas'!$U98</f>
        <v>0</v>
      </c>
      <c r="P203" s="245"/>
      <c r="Q203" s="48"/>
      <c r="R203" s="48"/>
      <c r="S203" s="243"/>
      <c r="T203" s="70"/>
      <c r="U203" s="71"/>
      <c r="V203" s="71"/>
      <c r="W203" s="221">
        <v>37500</v>
      </c>
      <c r="X203" s="222"/>
    </row>
  </sheetData>
  <mergeCells count="11">
    <mergeCell ref="B107:D107"/>
    <mergeCell ref="E107:E108"/>
    <mergeCell ref="F107:O107"/>
    <mergeCell ref="P107:S107"/>
    <mergeCell ref="T107:X107"/>
    <mergeCell ref="F1:X1"/>
    <mergeCell ref="B2:D2"/>
    <mergeCell ref="E2:E3"/>
    <mergeCell ref="F2:O2"/>
    <mergeCell ref="P2:S2"/>
    <mergeCell ref="T2:X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149"/>
  <sheetViews>
    <sheetView showGridLines="0" zoomScale="90" zoomScaleNormal="90" zoomScalePageLayoutView="130" workbookViewId="0">
      <pane xSplit="3" ySplit="3" topLeftCell="D4" activePane="bottomRight" state="frozen"/>
      <selection pane="topRight" activeCell="D1" sqref="D1"/>
      <selection pane="bottomLeft" activeCell="A4" sqref="A4"/>
      <selection pane="bottomRight" activeCell="C12" sqref="C12"/>
    </sheetView>
  </sheetViews>
  <sheetFormatPr baseColWidth="10" defaultColWidth="8.7109375" defaultRowHeight="12.75" x14ac:dyDescent="0.25"/>
  <cols>
    <col min="1" max="1" width="1.85546875" style="102" customWidth="1"/>
    <col min="2" max="2" width="11.140625" style="102" customWidth="1"/>
    <col min="3" max="3" width="106.140625" style="102" customWidth="1"/>
    <col min="4" max="4" width="7.85546875" style="102" customWidth="1"/>
    <col min="5" max="5" width="10.85546875" style="102" hidden="1" customWidth="1"/>
    <col min="6" max="6" width="12.85546875" style="102" hidden="1" customWidth="1"/>
    <col min="7" max="7" width="9.28515625" style="102" hidden="1" customWidth="1"/>
    <col min="8" max="8" width="28.85546875" style="102" hidden="1" customWidth="1"/>
    <col min="9" max="9" width="16.85546875" style="350" customWidth="1"/>
    <col min="10" max="10" width="19.85546875" style="102" customWidth="1"/>
    <col min="11" max="11" width="14.85546875" style="102" hidden="1" customWidth="1"/>
    <col min="12" max="12" width="14.42578125" style="102" hidden="1" customWidth="1"/>
    <col min="13" max="13" width="19.5703125" style="102" hidden="1" customWidth="1"/>
    <col min="14" max="14" width="2.7109375" style="102" hidden="1" customWidth="1"/>
    <col min="15" max="17" width="1.7109375" style="102" hidden="1" customWidth="1"/>
    <col min="18" max="18" width="1.5703125" style="102" hidden="1" customWidth="1"/>
    <col min="19" max="34" width="1.7109375" style="102" hidden="1" customWidth="1"/>
    <col min="35" max="35" width="63.7109375" style="102" customWidth="1"/>
    <col min="36" max="53" width="11.7109375" style="102" customWidth="1"/>
    <col min="54" max="56" width="1.7109375" style="102" hidden="1" customWidth="1"/>
    <col min="57" max="58" width="0" style="102" hidden="1" customWidth="1"/>
    <col min="59" max="59" width="14.7109375" style="102" hidden="1" customWidth="1"/>
    <col min="60" max="68" width="12.7109375" style="102" hidden="1" customWidth="1"/>
    <col min="69" max="69" width="13.7109375" style="102" hidden="1" customWidth="1"/>
    <col min="70" max="70" width="9.28515625" style="102" hidden="1" customWidth="1"/>
    <col min="71" max="72" width="9.140625" style="102" hidden="1" customWidth="1"/>
    <col min="73" max="73" width="0" style="102" hidden="1" customWidth="1"/>
    <col min="74" max="91" width="12.7109375" style="102" hidden="1" customWidth="1"/>
    <col min="92" max="92" width="13.7109375" style="102" hidden="1" customWidth="1"/>
    <col min="93" max="93" width="0" style="102" hidden="1" customWidth="1"/>
    <col min="94" max="94" width="11.140625" style="102" hidden="1" customWidth="1"/>
    <col min="95" max="99" width="0" style="102" hidden="1" customWidth="1"/>
    <col min="100" max="100" width="12" style="102" hidden="1" customWidth="1"/>
    <col min="101" max="101" width="0" style="102" hidden="1" customWidth="1"/>
    <col min="102" max="102" width="32.28515625" style="102" hidden="1" customWidth="1"/>
    <col min="103" max="16384" width="8.7109375" style="102"/>
  </cols>
  <sheetData>
    <row r="1" spans="1:102" s="103" customFormat="1" ht="24.95" customHeight="1" thickBot="1" x14ac:dyDescent="0.3">
      <c r="B1" s="369" t="s">
        <v>225</v>
      </c>
      <c r="C1" s="102"/>
      <c r="D1" s="102"/>
      <c r="E1" s="102"/>
      <c r="F1" s="102"/>
      <c r="G1" s="102"/>
      <c r="H1" s="102"/>
      <c r="I1" s="102"/>
      <c r="O1" s="102" t="s">
        <v>389</v>
      </c>
      <c r="P1" s="587" t="s">
        <v>0</v>
      </c>
      <c r="Q1" s="588"/>
      <c r="R1" s="588"/>
      <c r="S1" s="588"/>
      <c r="T1" s="588"/>
      <c r="U1" s="588"/>
      <c r="V1" s="588"/>
      <c r="W1" s="588"/>
      <c r="X1" s="588"/>
      <c r="Y1" s="588"/>
      <c r="Z1" s="588"/>
      <c r="AA1" s="588"/>
      <c r="AB1" s="588"/>
      <c r="AC1" s="588"/>
      <c r="AD1" s="588"/>
      <c r="AE1" s="588"/>
      <c r="AF1" s="589"/>
      <c r="AG1" s="590" t="s">
        <v>260</v>
      </c>
      <c r="AH1" s="591"/>
      <c r="AI1" s="591"/>
      <c r="AJ1" s="591"/>
      <c r="AK1" s="591"/>
      <c r="AL1" s="591"/>
      <c r="AM1" s="591"/>
      <c r="AN1" s="591"/>
      <c r="AO1" s="591"/>
      <c r="AP1" s="591"/>
      <c r="AQ1" s="591"/>
      <c r="AR1" s="591"/>
      <c r="AS1" s="591"/>
      <c r="AT1" s="591"/>
      <c r="AU1" s="591"/>
      <c r="AV1" s="591"/>
      <c r="AW1" s="591"/>
      <c r="AX1" s="591"/>
      <c r="AY1" s="591"/>
      <c r="AZ1" s="591"/>
      <c r="BA1" s="591"/>
      <c r="BB1" s="591"/>
      <c r="BC1" s="592"/>
      <c r="BD1" s="593" t="s">
        <v>261</v>
      </c>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5"/>
      <c r="CX1" s="574" t="s">
        <v>262</v>
      </c>
    </row>
    <row r="2" spans="1:102" s="103" customFormat="1" ht="28.5" customHeight="1" x14ac:dyDescent="0.25">
      <c r="A2" s="565" t="s">
        <v>408</v>
      </c>
      <c r="B2" s="78"/>
      <c r="C2" s="611" t="s">
        <v>416</v>
      </c>
      <c r="D2" s="603" t="s">
        <v>663</v>
      </c>
      <c r="E2" s="588" t="s">
        <v>0</v>
      </c>
      <c r="F2" s="588"/>
      <c r="G2" s="588"/>
      <c r="H2" s="589"/>
      <c r="I2" s="433" t="s">
        <v>247</v>
      </c>
      <c r="J2" s="105" t="s">
        <v>241</v>
      </c>
      <c r="K2" s="559" t="s">
        <v>251</v>
      </c>
      <c r="L2" s="560"/>
      <c r="M2" s="561"/>
      <c r="O2" s="565" t="s">
        <v>416</v>
      </c>
      <c r="P2" s="572" t="s">
        <v>263</v>
      </c>
      <c r="Q2" s="576" t="s">
        <v>264</v>
      </c>
      <c r="R2" s="576" t="s">
        <v>265</v>
      </c>
      <c r="S2" s="576"/>
      <c r="T2" s="576"/>
      <c r="U2" s="576"/>
      <c r="V2" s="576"/>
      <c r="W2" s="576"/>
      <c r="X2" s="576"/>
      <c r="Y2" s="576"/>
      <c r="Z2" s="576"/>
      <c r="AA2" s="576"/>
      <c r="AB2" s="576"/>
      <c r="AC2" s="576"/>
      <c r="AD2" s="576"/>
      <c r="AE2" s="576"/>
      <c r="AF2" s="577"/>
      <c r="AG2" s="562" t="s">
        <v>266</v>
      </c>
      <c r="AH2" s="563" t="s">
        <v>267</v>
      </c>
      <c r="AI2" s="563" t="s">
        <v>268</v>
      </c>
      <c r="AJ2" s="578" t="s">
        <v>270</v>
      </c>
      <c r="AK2" s="579"/>
      <c r="AL2" s="579"/>
      <c r="AM2" s="579"/>
      <c r="AN2" s="579"/>
      <c r="AO2" s="579"/>
      <c r="AP2" s="579"/>
      <c r="AQ2" s="579"/>
      <c r="AR2" s="580"/>
      <c r="AS2" s="578" t="s">
        <v>758</v>
      </c>
      <c r="AT2" s="579"/>
      <c r="AU2" s="579"/>
      <c r="AV2" s="579"/>
      <c r="AW2" s="579"/>
      <c r="AX2" s="579"/>
      <c r="AY2" s="579"/>
      <c r="AZ2" s="579"/>
      <c r="BA2" s="580"/>
      <c r="BB2" s="475"/>
      <c r="BC2" s="476"/>
      <c r="BD2" s="573" t="s">
        <v>272</v>
      </c>
      <c r="BE2" s="571" t="s">
        <v>273</v>
      </c>
      <c r="BF2" s="571" t="s">
        <v>511</v>
      </c>
      <c r="BG2" s="581" t="s">
        <v>275</v>
      </c>
      <c r="BH2" s="583" t="s">
        <v>276</v>
      </c>
      <c r="BI2" s="584"/>
      <c r="BJ2" s="584"/>
      <c r="BK2" s="584"/>
      <c r="BL2" s="584"/>
      <c r="BM2" s="584"/>
      <c r="BN2" s="584"/>
      <c r="BO2" s="584"/>
      <c r="BP2" s="584"/>
      <c r="BQ2" s="585"/>
      <c r="BR2" s="584" t="s">
        <v>277</v>
      </c>
      <c r="BS2" s="584"/>
      <c r="BT2" s="584"/>
      <c r="BU2" s="584"/>
      <c r="BV2" s="583" t="s">
        <v>278</v>
      </c>
      <c r="BW2" s="584"/>
      <c r="BX2" s="584"/>
      <c r="BY2" s="584"/>
      <c r="BZ2" s="584"/>
      <c r="CA2" s="584"/>
      <c r="CB2" s="584"/>
      <c r="CC2" s="584"/>
      <c r="CD2" s="585"/>
      <c r="CE2" s="584" t="s">
        <v>279</v>
      </c>
      <c r="CF2" s="584"/>
      <c r="CG2" s="584"/>
      <c r="CH2" s="584"/>
      <c r="CI2" s="584"/>
      <c r="CJ2" s="584"/>
      <c r="CK2" s="584"/>
      <c r="CL2" s="584"/>
      <c r="CM2" s="584"/>
      <c r="CN2" s="584"/>
      <c r="CO2" s="583" t="s">
        <v>280</v>
      </c>
      <c r="CP2" s="584"/>
      <c r="CQ2" s="584"/>
      <c r="CR2" s="584"/>
      <c r="CS2" s="584"/>
      <c r="CT2" s="584"/>
      <c r="CU2" s="584"/>
      <c r="CV2" s="584"/>
      <c r="CW2" s="586"/>
      <c r="CX2" s="575"/>
    </row>
    <row r="3" spans="1:102" s="103" customFormat="1" ht="36" customHeight="1" x14ac:dyDescent="0.25">
      <c r="A3" s="566"/>
      <c r="B3" s="78"/>
      <c r="C3" s="612"/>
      <c r="D3" s="603"/>
      <c r="E3" s="431" t="s">
        <v>143</v>
      </c>
      <c r="F3" s="431" t="s">
        <v>417</v>
      </c>
      <c r="G3" s="431" t="s">
        <v>418</v>
      </c>
      <c r="H3" s="432" t="s">
        <v>142</v>
      </c>
      <c r="I3" s="443" t="s">
        <v>243</v>
      </c>
      <c r="J3" s="110" t="s">
        <v>224</v>
      </c>
      <c r="K3" s="562" t="s">
        <v>252</v>
      </c>
      <c r="L3" s="563"/>
      <c r="M3" s="564"/>
      <c r="O3" s="566"/>
      <c r="P3" s="572"/>
      <c r="Q3" s="576"/>
      <c r="R3" s="111" t="s">
        <v>1</v>
      </c>
      <c r="S3" s="111" t="s">
        <v>2</v>
      </c>
      <c r="T3" s="111" t="s">
        <v>281</v>
      </c>
      <c r="U3" s="111" t="s">
        <v>3</v>
      </c>
      <c r="V3" s="111" t="s">
        <v>282</v>
      </c>
      <c r="W3" s="111" t="s">
        <v>283</v>
      </c>
      <c r="X3" s="111" t="s">
        <v>4</v>
      </c>
      <c r="Y3" s="111" t="s">
        <v>284</v>
      </c>
      <c r="Z3" s="111" t="s">
        <v>285</v>
      </c>
      <c r="AA3" s="111" t="s">
        <v>286</v>
      </c>
      <c r="AB3" s="111" t="s">
        <v>287</v>
      </c>
      <c r="AC3" s="111" t="s">
        <v>5</v>
      </c>
      <c r="AD3" s="111" t="s">
        <v>288</v>
      </c>
      <c r="AE3" s="111" t="s">
        <v>6</v>
      </c>
      <c r="AF3" s="112" t="s">
        <v>289</v>
      </c>
      <c r="AG3" s="562"/>
      <c r="AH3" s="563"/>
      <c r="AI3" s="563"/>
      <c r="AJ3" s="113">
        <v>2017</v>
      </c>
      <c r="AK3" s="113">
        <v>2018</v>
      </c>
      <c r="AL3" s="113">
        <v>2019</v>
      </c>
      <c r="AM3" s="113">
        <v>2020</v>
      </c>
      <c r="AN3" s="113">
        <v>2021</v>
      </c>
      <c r="AO3" s="113">
        <v>2022</v>
      </c>
      <c r="AP3" s="113">
        <v>2023</v>
      </c>
      <c r="AQ3" s="113">
        <v>2024</v>
      </c>
      <c r="AR3" s="113">
        <v>2025</v>
      </c>
      <c r="AS3" s="113">
        <v>2017</v>
      </c>
      <c r="AT3" s="113">
        <v>2018</v>
      </c>
      <c r="AU3" s="113">
        <v>2019</v>
      </c>
      <c r="AV3" s="113">
        <v>2020</v>
      </c>
      <c r="AW3" s="113">
        <v>2021</v>
      </c>
      <c r="AX3" s="113">
        <v>2022</v>
      </c>
      <c r="AY3" s="113">
        <v>2023</v>
      </c>
      <c r="AZ3" s="113">
        <v>2024</v>
      </c>
      <c r="BA3" s="113">
        <v>2025</v>
      </c>
      <c r="BB3" s="113" t="s">
        <v>290</v>
      </c>
      <c r="BC3" s="113" t="s">
        <v>291</v>
      </c>
      <c r="BD3" s="573"/>
      <c r="BE3" s="571"/>
      <c r="BF3" s="571"/>
      <c r="BG3" s="582"/>
      <c r="BH3" s="114">
        <v>2017</v>
      </c>
      <c r="BI3" s="434">
        <v>2018</v>
      </c>
      <c r="BJ3" s="434">
        <v>2019</v>
      </c>
      <c r="BK3" s="434">
        <v>2020</v>
      </c>
      <c r="BL3" s="434">
        <v>2021</v>
      </c>
      <c r="BM3" s="434">
        <v>2022</v>
      </c>
      <c r="BN3" s="434">
        <v>2023</v>
      </c>
      <c r="BO3" s="434">
        <v>2024</v>
      </c>
      <c r="BP3" s="434">
        <v>2025</v>
      </c>
      <c r="BQ3" s="116" t="s">
        <v>292</v>
      </c>
      <c r="BR3" s="117" t="s">
        <v>293</v>
      </c>
      <c r="BS3" s="434" t="s">
        <v>294</v>
      </c>
      <c r="BT3" s="434" t="s">
        <v>295</v>
      </c>
      <c r="BU3" s="118" t="s">
        <v>296</v>
      </c>
      <c r="BV3" s="114">
        <v>2017</v>
      </c>
      <c r="BW3" s="434">
        <v>2018</v>
      </c>
      <c r="BX3" s="434">
        <v>2019</v>
      </c>
      <c r="BY3" s="434">
        <v>2020</v>
      </c>
      <c r="BZ3" s="434">
        <v>2021</v>
      </c>
      <c r="CA3" s="434">
        <v>2022</v>
      </c>
      <c r="CB3" s="434">
        <v>2023</v>
      </c>
      <c r="CC3" s="434">
        <v>2024</v>
      </c>
      <c r="CD3" s="116">
        <v>2025</v>
      </c>
      <c r="CE3" s="119">
        <v>2017</v>
      </c>
      <c r="CF3" s="120">
        <v>2018</v>
      </c>
      <c r="CG3" s="120">
        <v>2019</v>
      </c>
      <c r="CH3" s="120">
        <v>2020</v>
      </c>
      <c r="CI3" s="120">
        <v>2021</v>
      </c>
      <c r="CJ3" s="120">
        <v>2022</v>
      </c>
      <c r="CK3" s="120">
        <v>2023</v>
      </c>
      <c r="CL3" s="120">
        <v>2024</v>
      </c>
      <c r="CM3" s="120">
        <v>2025</v>
      </c>
      <c r="CN3" s="121" t="s">
        <v>297</v>
      </c>
      <c r="CO3" s="114" t="s">
        <v>298</v>
      </c>
      <c r="CP3" s="434" t="s">
        <v>299</v>
      </c>
      <c r="CQ3" s="434" t="s">
        <v>300</v>
      </c>
      <c r="CR3" s="434" t="s">
        <v>301</v>
      </c>
      <c r="CS3" s="434" t="s">
        <v>302</v>
      </c>
      <c r="CT3" s="434" t="s">
        <v>303</v>
      </c>
      <c r="CU3" s="434" t="s">
        <v>304</v>
      </c>
      <c r="CV3" s="434" t="s">
        <v>305</v>
      </c>
      <c r="CW3" s="122" t="s">
        <v>306</v>
      </c>
      <c r="CX3" s="575"/>
    </row>
    <row r="4" spans="1:102" s="103" customFormat="1" ht="26.1" hidden="1" customHeight="1" x14ac:dyDescent="0.25">
      <c r="A4" s="123" t="s">
        <v>7</v>
      </c>
      <c r="B4" s="359"/>
      <c r="C4" s="125" t="s">
        <v>662</v>
      </c>
      <c r="D4" s="58" t="s">
        <v>668</v>
      </c>
      <c r="E4" s="58"/>
      <c r="F4" s="126"/>
      <c r="G4" s="127"/>
      <c r="H4" s="446"/>
      <c r="I4" s="444"/>
      <c r="J4" s="57"/>
      <c r="K4" s="128"/>
      <c r="L4" s="129"/>
      <c r="M4" s="130"/>
      <c r="O4" s="123" t="s">
        <v>7</v>
      </c>
      <c r="P4" s="131"/>
      <c r="Q4" s="126"/>
      <c r="R4" s="126"/>
      <c r="S4" s="126"/>
      <c r="T4" s="126"/>
      <c r="U4" s="126"/>
      <c r="V4" s="126"/>
      <c r="W4" s="126"/>
      <c r="X4" s="126"/>
      <c r="Y4" s="126"/>
      <c r="Z4" s="126"/>
      <c r="AA4" s="126"/>
      <c r="AB4" s="126"/>
      <c r="AC4" s="126"/>
      <c r="AD4" s="126"/>
      <c r="AE4" s="126"/>
      <c r="AF4" s="132"/>
      <c r="AG4" s="131"/>
      <c r="AH4" s="126"/>
      <c r="AI4" s="126"/>
      <c r="AJ4" s="133"/>
      <c r="AK4" s="133"/>
      <c r="AL4" s="133"/>
      <c r="AM4" s="133"/>
      <c r="AN4" s="133"/>
      <c r="AO4" s="133"/>
      <c r="AP4" s="133"/>
      <c r="AQ4" s="133"/>
      <c r="AR4" s="133"/>
      <c r="AS4" s="133"/>
      <c r="AT4" s="133"/>
      <c r="AU4" s="133"/>
      <c r="AV4" s="133"/>
      <c r="AW4" s="133"/>
      <c r="AX4" s="133"/>
      <c r="AY4" s="133"/>
      <c r="AZ4" s="133"/>
      <c r="BA4" s="133"/>
      <c r="BB4" s="126"/>
      <c r="BC4" s="132"/>
      <c r="BD4" s="131"/>
      <c r="BE4" s="126"/>
      <c r="BF4" s="134"/>
      <c r="BG4" s="135">
        <f>+BG5+BG11+BG13+BG16+BG19+BG21+BG23</f>
        <v>0</v>
      </c>
      <c r="BH4" s="136">
        <f>+BH5+BH11+BH13+BH16+BH19+BH21+BH23</f>
        <v>1299434262</v>
      </c>
      <c r="BI4" s="133">
        <f>+BI5+BI11+BI13+BI16+BI19+BI21+BI23</f>
        <v>3420373582.8600001</v>
      </c>
      <c r="BJ4" s="133">
        <f t="shared" ref="BJ4:BP4" si="0">+BJ5+BJ11+BJ13+BJ16+BJ19+BJ21+BJ23</f>
        <v>3480126635.9958</v>
      </c>
      <c r="BK4" s="133">
        <f t="shared" si="0"/>
        <v>3542625463.0081744</v>
      </c>
      <c r="BL4" s="133">
        <f t="shared" si="0"/>
        <v>3608000096.2275438</v>
      </c>
      <c r="BM4" s="133">
        <f t="shared" si="0"/>
        <v>3676386851.9099522</v>
      </c>
      <c r="BN4" s="133">
        <f t="shared" si="0"/>
        <v>3747928637.9026103</v>
      </c>
      <c r="BO4" s="133">
        <f t="shared" si="0"/>
        <v>3822775276.4968171</v>
      </c>
      <c r="BP4" s="133">
        <f t="shared" si="0"/>
        <v>3901083843.2217069</v>
      </c>
      <c r="BQ4" s="137">
        <f>SUM(BH4:BP4)</f>
        <v>30498734649.622608</v>
      </c>
      <c r="BR4" s="138"/>
      <c r="BS4" s="126"/>
      <c r="BT4" s="126"/>
      <c r="BU4" s="139"/>
      <c r="BV4" s="136">
        <f>+BV5+BV11+BV13+BV16+BV19+BV21+BV23</f>
        <v>2200774812</v>
      </c>
      <c r="BW4" s="133">
        <f>+BW5+BW11+BW13+BW16+BW19+BW21+BW23</f>
        <v>4988780160.3600006</v>
      </c>
      <c r="BX4" s="133">
        <f t="shared" ref="BX4:CC4" si="1">+BX5+BX11+BX13+BX16+BX19+BX21+BX23</f>
        <v>4975700612.3708</v>
      </c>
      <c r="BY4" s="133">
        <f t="shared" si="1"/>
        <v>5117823155.3019238</v>
      </c>
      <c r="BZ4" s="133">
        <f t="shared" si="1"/>
        <v>5250884700.7489815</v>
      </c>
      <c r="CA4" s="133">
        <f t="shared" si="1"/>
        <v>5401481185.0988512</v>
      </c>
      <c r="CB4" s="133">
        <f t="shared" si="1"/>
        <v>5556618011.145587</v>
      </c>
      <c r="CC4" s="133">
        <f t="shared" si="1"/>
        <v>5716510511.4984131</v>
      </c>
      <c r="CD4" s="137">
        <f>+CD5+CD11+CD13+CD16+CD19+CD21+CD23</f>
        <v>5842384434.8627472</v>
      </c>
      <c r="CE4" s="136">
        <f>+CE5+CE11+CE13+CE16+CE19+CE21+CE23</f>
        <v>901340550</v>
      </c>
      <c r="CF4" s="133">
        <f>+CF5+CF11+CF13+CF16+CF19+CF21+CF23</f>
        <v>1568406577.5</v>
      </c>
      <c r="CG4" s="133">
        <f t="shared" ref="CG4:CM4" si="2">+CG5+CG11+CG13+CG16+CG19+CG21+CG23</f>
        <v>1495573976.375</v>
      </c>
      <c r="CH4" s="133">
        <f t="shared" si="2"/>
        <v>1575197692.2937498</v>
      </c>
      <c r="CI4" s="133">
        <f t="shared" si="2"/>
        <v>1642884604.5214374</v>
      </c>
      <c r="CJ4" s="133">
        <f t="shared" si="2"/>
        <v>1725094333.1888995</v>
      </c>
      <c r="CK4" s="133">
        <f t="shared" si="2"/>
        <v>1808689373.2429764</v>
      </c>
      <c r="CL4" s="133">
        <f t="shared" si="2"/>
        <v>1893735235.0015957</v>
      </c>
      <c r="CM4" s="133">
        <f t="shared" si="2"/>
        <v>1941300591.6410406</v>
      </c>
      <c r="CN4" s="137">
        <f>SUM(CE4:CM4)</f>
        <v>14552222933.764702</v>
      </c>
      <c r="CO4" s="138"/>
      <c r="CP4" s="140">
        <f>+CP5+CP11+CP13+CP16+CP19+CP21+CP23</f>
        <v>1259000</v>
      </c>
      <c r="CQ4" s="126"/>
      <c r="CR4" s="126"/>
      <c r="CS4" s="126"/>
      <c r="CT4" s="126"/>
      <c r="CU4" s="126"/>
      <c r="CV4" s="141">
        <f>+CV5+CV11+CV13+CV16+CV19+CV21+CV23</f>
        <v>13780572933.7647</v>
      </c>
      <c r="CW4" s="132"/>
      <c r="CX4" s="142"/>
    </row>
    <row r="5" spans="1:102" s="103" customFormat="1" ht="26.1" hidden="1" customHeight="1" x14ac:dyDescent="0.25">
      <c r="A5" s="143" t="s">
        <v>509</v>
      </c>
      <c r="B5" s="360"/>
      <c r="C5" s="447" t="s">
        <v>657</v>
      </c>
      <c r="D5" s="154" t="s">
        <v>664</v>
      </c>
      <c r="E5" s="448" t="s">
        <v>488</v>
      </c>
      <c r="F5" s="145"/>
      <c r="G5" s="146"/>
      <c r="H5" s="449"/>
      <c r="I5" s="445"/>
      <c r="J5" s="62"/>
      <c r="K5" s="147" t="s">
        <v>253</v>
      </c>
      <c r="L5" s="361" t="s">
        <v>254</v>
      </c>
      <c r="M5" s="149" t="s">
        <v>255</v>
      </c>
      <c r="O5" s="143" t="s">
        <v>509</v>
      </c>
      <c r="P5" s="150"/>
      <c r="Q5" s="145"/>
      <c r="R5" s="145"/>
      <c r="S5" s="145"/>
      <c r="T5" s="145"/>
      <c r="U5" s="145"/>
      <c r="V5" s="145"/>
      <c r="W5" s="145"/>
      <c r="X5" s="145"/>
      <c r="Y5" s="145"/>
      <c r="Z5" s="145"/>
      <c r="AA5" s="145"/>
      <c r="AB5" s="145"/>
      <c r="AC5" s="145"/>
      <c r="AD5" s="145"/>
      <c r="AE5" s="145"/>
      <c r="AF5" s="151"/>
      <c r="AG5" s="150"/>
      <c r="AH5" s="145"/>
      <c r="AI5" s="145"/>
      <c r="AJ5" s="152"/>
      <c r="AK5" s="152"/>
      <c r="AL5" s="152"/>
      <c r="AM5" s="152"/>
      <c r="AN5" s="152"/>
      <c r="AO5" s="152"/>
      <c r="AP5" s="152"/>
      <c r="AQ5" s="152"/>
      <c r="AR5" s="152"/>
      <c r="AS5" s="152"/>
      <c r="AT5" s="152"/>
      <c r="AU5" s="152"/>
      <c r="AV5" s="152"/>
      <c r="AW5" s="152"/>
      <c r="AX5" s="152"/>
      <c r="AY5" s="152"/>
      <c r="AZ5" s="152"/>
      <c r="BA5" s="152"/>
      <c r="BB5" s="145"/>
      <c r="BC5" s="151"/>
      <c r="BD5" s="153"/>
      <c r="BE5" s="154" t="s">
        <v>355</v>
      </c>
      <c r="BF5" s="155"/>
      <c r="BG5" s="156">
        <f>SUM(BG6:BG8)</f>
        <v>0</v>
      </c>
      <c r="BH5" s="157">
        <f>SUM(BH6:BH9)</f>
        <v>391389612</v>
      </c>
      <c r="BI5" s="152">
        <f>SUM(BI6:BI9)</f>
        <v>2465931300.3600001</v>
      </c>
      <c r="BJ5" s="152">
        <f t="shared" ref="BJ5:BP5" si="3">SUM(BJ6:BJ9)</f>
        <v>2478025239.3708</v>
      </c>
      <c r="BK5" s="152">
        <f t="shared" si="3"/>
        <v>2490481996.5519242</v>
      </c>
      <c r="BL5" s="152">
        <f t="shared" si="3"/>
        <v>2503312456.4484816</v>
      </c>
      <c r="BM5" s="152">
        <f t="shared" si="3"/>
        <v>2516527830.1419363</v>
      </c>
      <c r="BN5" s="152">
        <f t="shared" si="3"/>
        <v>2530139665.0461941</v>
      </c>
      <c r="BO5" s="152">
        <f t="shared" si="3"/>
        <v>2544159854.9975801</v>
      </c>
      <c r="BP5" s="152">
        <f t="shared" si="3"/>
        <v>2558600650.6475077</v>
      </c>
      <c r="BQ5" s="156">
        <f>SUM(BH5:BP5)</f>
        <v>20478568605.564423</v>
      </c>
      <c r="BR5" s="158"/>
      <c r="BS5" s="145"/>
      <c r="BT5" s="145"/>
      <c r="BU5" s="159"/>
      <c r="BV5" s="157">
        <f>SUM(BV6:BV9)</f>
        <v>485439612</v>
      </c>
      <c r="BW5" s="152">
        <f>SUM(BW6:BW9)</f>
        <v>3347052800.3600001</v>
      </c>
      <c r="BX5" s="152">
        <f t="shared" ref="BX5:CC5" si="4">SUM(BX6:BX9)</f>
        <v>3364874384.3708</v>
      </c>
      <c r="BY5" s="152">
        <f t="shared" si="4"/>
        <v>3383230615.9019241</v>
      </c>
      <c r="BZ5" s="152">
        <f t="shared" si="4"/>
        <v>3402137534.3789816</v>
      </c>
      <c r="CA5" s="152">
        <f t="shared" si="4"/>
        <v>3421611660.4103513</v>
      </c>
      <c r="CB5" s="152">
        <f t="shared" si="4"/>
        <v>3441670010.222662</v>
      </c>
      <c r="CC5" s="152">
        <f t="shared" si="4"/>
        <v>3462330110.5293417</v>
      </c>
      <c r="CD5" s="156">
        <f>SUM(CD6:CD9)</f>
        <v>3483610013.845222</v>
      </c>
      <c r="CE5" s="157">
        <f>SUM(CE6:CE9)</f>
        <v>94050000</v>
      </c>
      <c r="CF5" s="152">
        <f>SUM(CF6:CF9)</f>
        <v>881121500</v>
      </c>
      <c r="CG5" s="152">
        <f t="shared" ref="CG5:CM5" si="5">SUM(CG6:CG9)</f>
        <v>886849145</v>
      </c>
      <c r="CH5" s="152">
        <f t="shared" si="5"/>
        <v>892748619.3499999</v>
      </c>
      <c r="CI5" s="152">
        <f t="shared" si="5"/>
        <v>898825077.93049991</v>
      </c>
      <c r="CJ5" s="152">
        <f t="shared" si="5"/>
        <v>905083830.26841497</v>
      </c>
      <c r="CK5" s="152">
        <f t="shared" si="5"/>
        <v>911530345.17646742</v>
      </c>
      <c r="CL5" s="152">
        <f t="shared" si="5"/>
        <v>918170255.53176141</v>
      </c>
      <c r="CM5" s="152">
        <f t="shared" si="5"/>
        <v>925009363.19771433</v>
      </c>
      <c r="CN5" s="156">
        <f>SUM(CE5:CM5)</f>
        <v>7313388136.4548569</v>
      </c>
      <c r="CO5" s="158"/>
      <c r="CP5" s="160">
        <f>SUM(CP6:CP8)</f>
        <v>0</v>
      </c>
      <c r="CQ5" s="145"/>
      <c r="CR5" s="145"/>
      <c r="CS5" s="145"/>
      <c r="CT5" s="145"/>
      <c r="CU5" s="145"/>
      <c r="CV5" s="161">
        <f>SUM(CV6:CV9)</f>
        <v>7125288136.4548578</v>
      </c>
      <c r="CW5" s="151"/>
      <c r="CX5" s="162"/>
    </row>
    <row r="6" spans="1:102" s="103" customFormat="1" ht="26.1" customHeight="1" x14ac:dyDescent="0.25">
      <c r="A6" s="163" t="s">
        <v>8</v>
      </c>
      <c r="B6" s="362"/>
      <c r="C6" s="450" t="s">
        <v>757</v>
      </c>
      <c r="D6" s="471" t="s">
        <v>665</v>
      </c>
      <c r="E6" s="48" t="s">
        <v>9</v>
      </c>
      <c r="F6" s="48" t="s">
        <v>402</v>
      </c>
      <c r="G6" s="48" t="s">
        <v>373</v>
      </c>
      <c r="H6" s="94" t="s">
        <v>101</v>
      </c>
      <c r="I6" s="543"/>
      <c r="J6" s="544" t="s">
        <v>230</v>
      </c>
      <c r="K6" s="165"/>
      <c r="L6" s="166"/>
      <c r="M6" s="167"/>
      <c r="O6" s="163" t="s">
        <v>374</v>
      </c>
      <c r="P6" s="74" t="s">
        <v>9</v>
      </c>
      <c r="Q6" s="75" t="s">
        <v>402</v>
      </c>
      <c r="R6" s="75" t="s">
        <v>314</v>
      </c>
      <c r="S6" s="75" t="s">
        <v>314</v>
      </c>
      <c r="T6" s="75" t="s">
        <v>314</v>
      </c>
      <c r="U6" s="75"/>
      <c r="V6" s="75" t="s">
        <v>314</v>
      </c>
      <c r="W6" s="75"/>
      <c r="X6" s="75" t="s">
        <v>314</v>
      </c>
      <c r="Y6" s="75"/>
      <c r="Z6" s="75"/>
      <c r="AA6" s="75"/>
      <c r="AB6" s="75"/>
      <c r="AC6" s="75" t="s">
        <v>307</v>
      </c>
      <c r="AD6" s="75"/>
      <c r="AE6" s="75"/>
      <c r="AF6" s="168"/>
      <c r="AG6" s="74" t="s">
        <v>315</v>
      </c>
      <c r="AH6" s="169" t="s">
        <v>339</v>
      </c>
      <c r="AI6" s="68" t="s">
        <v>505</v>
      </c>
      <c r="AJ6" s="170">
        <f>(0*0.658)/471000</f>
        <v>0</v>
      </c>
      <c r="AK6" s="170">
        <f>(2062500000/0.06*0.658)/(471000)</f>
        <v>48022.823779193204</v>
      </c>
      <c r="AL6" s="170">
        <f>+AK6</f>
        <v>48022.823779193204</v>
      </c>
      <c r="AM6" s="170">
        <f t="shared" ref="AM6:AR7" si="6">+AL6</f>
        <v>48022.823779193204</v>
      </c>
      <c r="AN6" s="170">
        <f t="shared" si="6"/>
        <v>48022.823779193204</v>
      </c>
      <c r="AO6" s="170">
        <f t="shared" si="6"/>
        <v>48022.823779193204</v>
      </c>
      <c r="AP6" s="170">
        <f t="shared" si="6"/>
        <v>48022.823779193204</v>
      </c>
      <c r="AQ6" s="170">
        <f t="shared" si="6"/>
        <v>48022.823779193204</v>
      </c>
      <c r="AR6" s="170">
        <f t="shared" si="6"/>
        <v>48022.823779193204</v>
      </c>
      <c r="AS6" s="170">
        <v>0</v>
      </c>
      <c r="AT6" s="170">
        <f>+(2750000000/0.06*0.658)/(471000)</f>
        <v>64030.431705590949</v>
      </c>
      <c r="AU6" s="170">
        <f>+AT6</f>
        <v>64030.431705590949</v>
      </c>
      <c r="AV6" s="170">
        <f t="shared" ref="AV6:BA7" si="7">+AU6</f>
        <v>64030.431705590949</v>
      </c>
      <c r="AW6" s="170">
        <f t="shared" si="7"/>
        <v>64030.431705590949</v>
      </c>
      <c r="AX6" s="170">
        <f t="shared" si="7"/>
        <v>64030.431705590949</v>
      </c>
      <c r="AY6" s="170">
        <f t="shared" si="7"/>
        <v>64030.431705590949</v>
      </c>
      <c r="AZ6" s="170">
        <f t="shared" si="7"/>
        <v>64030.431705590949</v>
      </c>
      <c r="BA6" s="170">
        <f t="shared" si="7"/>
        <v>64030.431705590949</v>
      </c>
      <c r="BB6" s="48"/>
      <c r="BC6" s="94"/>
      <c r="BD6" s="165"/>
      <c r="BE6" s="171" t="s">
        <v>312</v>
      </c>
      <c r="BF6" s="75" t="s">
        <v>313</v>
      </c>
      <c r="BG6" s="172"/>
      <c r="BH6" s="173"/>
      <c r="BI6" s="174">
        <v>2062500000</v>
      </c>
      <c r="BJ6" s="174">
        <v>2062500000</v>
      </c>
      <c r="BK6" s="174">
        <v>2062500000</v>
      </c>
      <c r="BL6" s="174">
        <v>2062500000</v>
      </c>
      <c r="BM6" s="174">
        <v>2062500000</v>
      </c>
      <c r="BN6" s="174">
        <v>2062500000</v>
      </c>
      <c r="BO6" s="174">
        <v>2062500000</v>
      </c>
      <c r="BP6" s="174">
        <v>2062500000</v>
      </c>
      <c r="BQ6" s="175">
        <f>SUM(BH6:BP6)</f>
        <v>16500000000</v>
      </c>
      <c r="BR6" s="176"/>
      <c r="BS6" s="75"/>
      <c r="BT6" s="177">
        <v>1</v>
      </c>
      <c r="BU6" s="178" t="s">
        <v>383</v>
      </c>
      <c r="BV6" s="173"/>
      <c r="BW6" s="174">
        <v>2750000000</v>
      </c>
      <c r="BX6" s="174">
        <v>2750000000</v>
      </c>
      <c r="BY6" s="174">
        <v>2750000000</v>
      </c>
      <c r="BZ6" s="174">
        <v>2750000000</v>
      </c>
      <c r="CA6" s="174">
        <v>2750000000</v>
      </c>
      <c r="CB6" s="174">
        <v>2750000000</v>
      </c>
      <c r="CC6" s="174">
        <v>2750000000</v>
      </c>
      <c r="CD6" s="175">
        <v>2750000000</v>
      </c>
      <c r="CE6" s="173">
        <f>+BV6-BH6</f>
        <v>0</v>
      </c>
      <c r="CF6" s="174">
        <f>+BW6-BI6</f>
        <v>687500000</v>
      </c>
      <c r="CG6" s="174">
        <f t="shared" ref="CG6:CM6" si="8">+BX6-BJ6</f>
        <v>687500000</v>
      </c>
      <c r="CH6" s="174">
        <f t="shared" si="8"/>
        <v>687500000</v>
      </c>
      <c r="CI6" s="174">
        <f t="shared" si="8"/>
        <v>687500000</v>
      </c>
      <c r="CJ6" s="174">
        <f t="shared" si="8"/>
        <v>687500000</v>
      </c>
      <c r="CK6" s="174">
        <f t="shared" si="8"/>
        <v>687500000</v>
      </c>
      <c r="CL6" s="174">
        <f t="shared" si="8"/>
        <v>687500000</v>
      </c>
      <c r="CM6" s="174">
        <f t="shared" si="8"/>
        <v>687500000</v>
      </c>
      <c r="CN6" s="175">
        <f>SUM(CE6:CM6)</f>
        <v>5500000000</v>
      </c>
      <c r="CO6" s="179"/>
      <c r="CP6" s="180"/>
      <c r="CQ6" s="180"/>
      <c r="CR6" s="169"/>
      <c r="CS6" s="169"/>
      <c r="CT6" s="169"/>
      <c r="CU6" s="169"/>
      <c r="CV6" s="181">
        <f>+CN6-CP6*550</f>
        <v>5500000000</v>
      </c>
      <c r="CW6" s="182" t="s">
        <v>375</v>
      </c>
      <c r="CX6" s="183" t="s">
        <v>376</v>
      </c>
    </row>
    <row r="7" spans="1:102" s="103" customFormat="1" ht="36.75" customHeight="1" x14ac:dyDescent="0.25">
      <c r="A7" s="184"/>
      <c r="B7" s="362"/>
      <c r="C7" s="450"/>
      <c r="D7" s="472"/>
      <c r="E7" s="48"/>
      <c r="F7" s="48"/>
      <c r="G7" s="48"/>
      <c r="H7" s="94"/>
      <c r="I7" s="545"/>
      <c r="J7" s="546"/>
      <c r="K7" s="186"/>
      <c r="L7" s="187"/>
      <c r="M7" s="188"/>
      <c r="O7" s="184"/>
      <c r="P7" s="80"/>
      <c r="Q7" s="81"/>
      <c r="R7" s="81"/>
      <c r="S7" s="81"/>
      <c r="T7" s="81"/>
      <c r="U7" s="81"/>
      <c r="V7" s="81"/>
      <c r="W7" s="81"/>
      <c r="X7" s="81"/>
      <c r="Y7" s="81"/>
      <c r="Z7" s="81"/>
      <c r="AA7" s="81"/>
      <c r="AB7" s="81"/>
      <c r="AC7" s="81"/>
      <c r="AD7" s="81"/>
      <c r="AE7" s="81"/>
      <c r="AF7" s="189"/>
      <c r="AG7" s="80"/>
      <c r="AH7" s="190"/>
      <c r="AI7" s="68" t="s">
        <v>506</v>
      </c>
      <c r="AJ7" s="170">
        <f>(0*0.342)/247118</f>
        <v>0</v>
      </c>
      <c r="AK7" s="170">
        <f>(2062500000/0.06*0.342)/(247118)</f>
        <v>47573.426460233575</v>
      </c>
      <c r="AL7" s="170">
        <f>+AK7</f>
        <v>47573.426460233575</v>
      </c>
      <c r="AM7" s="170">
        <f t="shared" si="6"/>
        <v>47573.426460233575</v>
      </c>
      <c r="AN7" s="170">
        <f t="shared" si="6"/>
        <v>47573.426460233575</v>
      </c>
      <c r="AO7" s="170">
        <f t="shared" si="6"/>
        <v>47573.426460233575</v>
      </c>
      <c r="AP7" s="170">
        <f t="shared" si="6"/>
        <v>47573.426460233575</v>
      </c>
      <c r="AQ7" s="170">
        <f t="shared" si="6"/>
        <v>47573.426460233575</v>
      </c>
      <c r="AR7" s="170">
        <f t="shared" si="6"/>
        <v>47573.426460233575</v>
      </c>
      <c r="AS7" s="170">
        <f>(0*0.342)/247118</f>
        <v>0</v>
      </c>
      <c r="AT7" s="170">
        <f>(2750000000/0.06*0.342)/(247118)</f>
        <v>63431.235280311441</v>
      </c>
      <c r="AU7" s="170">
        <f>+AT7</f>
        <v>63431.235280311441</v>
      </c>
      <c r="AV7" s="170">
        <f t="shared" si="7"/>
        <v>63431.235280311441</v>
      </c>
      <c r="AW7" s="170">
        <f t="shared" si="7"/>
        <v>63431.235280311441</v>
      </c>
      <c r="AX7" s="170">
        <f t="shared" si="7"/>
        <v>63431.235280311441</v>
      </c>
      <c r="AY7" s="170">
        <f t="shared" si="7"/>
        <v>63431.235280311441</v>
      </c>
      <c r="AZ7" s="170">
        <f t="shared" si="7"/>
        <v>63431.235280311441</v>
      </c>
      <c r="BA7" s="170">
        <f t="shared" si="7"/>
        <v>63431.235280311441</v>
      </c>
      <c r="BB7" s="48"/>
      <c r="BC7" s="94"/>
      <c r="BD7" s="186"/>
      <c r="BE7" s="191"/>
      <c r="BF7" s="81"/>
      <c r="BG7" s="192"/>
      <c r="BH7" s="193"/>
      <c r="BI7" s="194"/>
      <c r="BJ7" s="194"/>
      <c r="BK7" s="194"/>
      <c r="BL7" s="194"/>
      <c r="BM7" s="194"/>
      <c r="BN7" s="194"/>
      <c r="BO7" s="194"/>
      <c r="BP7" s="194"/>
      <c r="BQ7" s="195"/>
      <c r="BR7" s="196"/>
      <c r="BS7" s="81"/>
      <c r="BT7" s="197"/>
      <c r="BU7" s="198"/>
      <c r="BV7" s="193"/>
      <c r="BW7" s="194"/>
      <c r="BX7" s="194"/>
      <c r="BY7" s="194"/>
      <c r="BZ7" s="194"/>
      <c r="CA7" s="194"/>
      <c r="CB7" s="194"/>
      <c r="CC7" s="194"/>
      <c r="CD7" s="195"/>
      <c r="CE7" s="193"/>
      <c r="CF7" s="194"/>
      <c r="CG7" s="194"/>
      <c r="CH7" s="194"/>
      <c r="CI7" s="194"/>
      <c r="CJ7" s="194"/>
      <c r="CK7" s="194"/>
      <c r="CL7" s="194"/>
      <c r="CM7" s="194"/>
      <c r="CN7" s="195"/>
      <c r="CO7" s="199"/>
      <c r="CP7" s="200"/>
      <c r="CQ7" s="200"/>
      <c r="CR7" s="190"/>
      <c r="CS7" s="190"/>
      <c r="CT7" s="190"/>
      <c r="CU7" s="190"/>
      <c r="CV7" s="201"/>
      <c r="CW7" s="202"/>
      <c r="CX7" s="203"/>
    </row>
    <row r="8" spans="1:102" s="103" customFormat="1" ht="26.1" customHeight="1" x14ac:dyDescent="0.25">
      <c r="A8" s="204" t="s">
        <v>10</v>
      </c>
      <c r="B8" s="362"/>
      <c r="C8" s="450" t="s">
        <v>10</v>
      </c>
      <c r="D8" s="451" t="s">
        <v>666</v>
      </c>
      <c r="E8" s="48" t="s">
        <v>4</v>
      </c>
      <c r="F8" s="48" t="s">
        <v>462</v>
      </c>
      <c r="G8" s="48" t="s">
        <v>397</v>
      </c>
      <c r="H8" s="94" t="s">
        <v>102</v>
      </c>
      <c r="I8" s="547"/>
      <c r="J8" s="548" t="s">
        <v>230</v>
      </c>
      <c r="K8" s="206"/>
      <c r="L8" s="207"/>
      <c r="M8" s="208"/>
      <c r="O8" s="204" t="s">
        <v>10</v>
      </c>
      <c r="P8" s="47" t="s">
        <v>4</v>
      </c>
      <c r="Q8" s="48" t="s">
        <v>434</v>
      </c>
      <c r="R8" s="48"/>
      <c r="S8" s="48" t="s">
        <v>314</v>
      </c>
      <c r="T8" s="48" t="s">
        <v>314</v>
      </c>
      <c r="U8" s="48"/>
      <c r="V8" s="48" t="s">
        <v>314</v>
      </c>
      <c r="W8" s="48"/>
      <c r="X8" s="48" t="s">
        <v>307</v>
      </c>
      <c r="Y8" s="48"/>
      <c r="Z8" s="48"/>
      <c r="AA8" s="48"/>
      <c r="AB8" s="48"/>
      <c r="AC8" s="48" t="s">
        <v>314</v>
      </c>
      <c r="AD8" s="48"/>
      <c r="AE8" s="48"/>
      <c r="AF8" s="209"/>
      <c r="AG8" s="47" t="s">
        <v>315</v>
      </c>
      <c r="AH8" s="210" t="s">
        <v>339</v>
      </c>
      <c r="AI8" s="68" t="s">
        <v>435</v>
      </c>
      <c r="AJ8" s="170"/>
      <c r="AK8" s="170">
        <v>1</v>
      </c>
      <c r="AL8" s="170">
        <v>1</v>
      </c>
      <c r="AM8" s="170">
        <v>1</v>
      </c>
      <c r="AN8" s="170">
        <v>1</v>
      </c>
      <c r="AO8" s="170">
        <v>1</v>
      </c>
      <c r="AP8" s="170">
        <v>1</v>
      </c>
      <c r="AQ8" s="170">
        <v>1</v>
      </c>
      <c r="AR8" s="170">
        <v>1</v>
      </c>
      <c r="AS8" s="170"/>
      <c r="AT8" s="170">
        <v>10</v>
      </c>
      <c r="AU8" s="170">
        <v>10</v>
      </c>
      <c r="AV8" s="170">
        <v>10</v>
      </c>
      <c r="AW8" s="170">
        <v>10</v>
      </c>
      <c r="AX8" s="170">
        <v>10</v>
      </c>
      <c r="AY8" s="170">
        <v>10</v>
      </c>
      <c r="AZ8" s="170">
        <v>10</v>
      </c>
      <c r="BA8" s="170">
        <v>10</v>
      </c>
      <c r="BB8" s="48"/>
      <c r="BC8" s="48"/>
      <c r="BD8" s="206"/>
      <c r="BE8" s="68" t="s">
        <v>312</v>
      </c>
      <c r="BF8" s="48" t="s">
        <v>313</v>
      </c>
      <c r="BG8" s="211"/>
      <c r="BH8" s="212">
        <f t="shared" ref="BH8:BP8" si="9">AJ8*300000</f>
        <v>0</v>
      </c>
      <c r="BI8" s="170">
        <f t="shared" si="9"/>
        <v>300000</v>
      </c>
      <c r="BJ8" s="170">
        <f t="shared" si="9"/>
        <v>300000</v>
      </c>
      <c r="BK8" s="170">
        <f t="shared" si="9"/>
        <v>300000</v>
      </c>
      <c r="BL8" s="170">
        <f t="shared" si="9"/>
        <v>300000</v>
      </c>
      <c r="BM8" s="170">
        <f t="shared" si="9"/>
        <v>300000</v>
      </c>
      <c r="BN8" s="170">
        <f t="shared" si="9"/>
        <v>300000</v>
      </c>
      <c r="BO8" s="170">
        <f t="shared" si="9"/>
        <v>300000</v>
      </c>
      <c r="BP8" s="170">
        <f t="shared" si="9"/>
        <v>300000</v>
      </c>
      <c r="BQ8" s="213">
        <f>SUM(BH8:BP8)</f>
        <v>2400000</v>
      </c>
      <c r="BR8" s="214"/>
      <c r="BS8" s="48"/>
      <c r="BT8" s="215">
        <v>1</v>
      </c>
      <c r="BU8" s="216" t="s">
        <v>436</v>
      </c>
      <c r="BV8" s="212">
        <f>300000*AS8</f>
        <v>0</v>
      </c>
      <c r="BW8" s="170">
        <f>300000*AT8</f>
        <v>3000000</v>
      </c>
      <c r="BX8" s="170">
        <f t="shared" ref="BX8:CD8" si="10">300000*AU8</f>
        <v>3000000</v>
      </c>
      <c r="BY8" s="170">
        <f t="shared" si="10"/>
        <v>3000000</v>
      </c>
      <c r="BZ8" s="170">
        <f t="shared" si="10"/>
        <v>3000000</v>
      </c>
      <c r="CA8" s="170">
        <f t="shared" si="10"/>
        <v>3000000</v>
      </c>
      <c r="CB8" s="170">
        <f t="shared" si="10"/>
        <v>3000000</v>
      </c>
      <c r="CC8" s="170">
        <f t="shared" si="10"/>
        <v>3000000</v>
      </c>
      <c r="CD8" s="213">
        <f t="shared" si="10"/>
        <v>3000000</v>
      </c>
      <c r="CE8" s="217">
        <f>+BV8-BH8</f>
        <v>0</v>
      </c>
      <c r="CF8" s="170">
        <f>+BW8-BI8</f>
        <v>2700000</v>
      </c>
      <c r="CG8" s="170">
        <f t="shared" ref="CG8:CM9" si="11">+BX8-BJ8</f>
        <v>2700000</v>
      </c>
      <c r="CH8" s="170">
        <f t="shared" si="11"/>
        <v>2700000</v>
      </c>
      <c r="CI8" s="170">
        <f t="shared" si="11"/>
        <v>2700000</v>
      </c>
      <c r="CJ8" s="170">
        <f t="shared" si="11"/>
        <v>2700000</v>
      </c>
      <c r="CK8" s="170">
        <f t="shared" si="11"/>
        <v>2700000</v>
      </c>
      <c r="CL8" s="170">
        <f t="shared" si="11"/>
        <v>2700000</v>
      </c>
      <c r="CM8" s="170">
        <f t="shared" si="11"/>
        <v>2700000</v>
      </c>
      <c r="CN8" s="218">
        <f>SUM(CE8:CM8)</f>
        <v>21600000</v>
      </c>
      <c r="CO8" s="219"/>
      <c r="CP8" s="220"/>
      <c r="CQ8" s="220"/>
      <c r="CR8" s="210"/>
      <c r="CS8" s="210"/>
      <c r="CT8" s="210"/>
      <c r="CU8" s="210"/>
      <c r="CV8" s="221">
        <f>+CN8-CP8*550</f>
        <v>21600000</v>
      </c>
      <c r="CW8" s="222"/>
      <c r="CX8" s="223"/>
    </row>
    <row r="9" spans="1:102" s="103" customFormat="1" ht="26.1" customHeight="1" x14ac:dyDescent="0.25">
      <c r="A9" s="224" t="s">
        <v>37</v>
      </c>
      <c r="B9" s="363"/>
      <c r="C9" s="452" t="s">
        <v>37</v>
      </c>
      <c r="D9" s="473" t="s">
        <v>667</v>
      </c>
      <c r="E9" s="48" t="s">
        <v>3</v>
      </c>
      <c r="F9" s="48" t="s">
        <v>412</v>
      </c>
      <c r="G9" s="48" t="s">
        <v>396</v>
      </c>
      <c r="H9" s="94" t="s">
        <v>111</v>
      </c>
      <c r="I9" s="543" t="s">
        <v>245</v>
      </c>
      <c r="J9" s="544" t="s">
        <v>233</v>
      </c>
      <c r="K9" s="165"/>
      <c r="L9" s="166"/>
      <c r="M9" s="167"/>
      <c r="N9" s="102"/>
      <c r="O9" s="224" t="s">
        <v>37</v>
      </c>
      <c r="P9" s="74" t="s">
        <v>3</v>
      </c>
      <c r="Q9" s="75" t="s">
        <v>412</v>
      </c>
      <c r="R9" s="75" t="s">
        <v>314</v>
      </c>
      <c r="S9" s="75" t="s">
        <v>314</v>
      </c>
      <c r="T9" s="75" t="s">
        <v>314</v>
      </c>
      <c r="U9" s="75" t="s">
        <v>307</v>
      </c>
      <c r="V9" s="75"/>
      <c r="W9" s="75"/>
      <c r="X9" s="75" t="s">
        <v>314</v>
      </c>
      <c r="Y9" s="75"/>
      <c r="Z9" s="75"/>
      <c r="AA9" s="75"/>
      <c r="AB9" s="75"/>
      <c r="AC9" s="75"/>
      <c r="AD9" s="75"/>
      <c r="AE9" s="75"/>
      <c r="AF9" s="168"/>
      <c r="AG9" s="74" t="s">
        <v>315</v>
      </c>
      <c r="AH9" s="169" t="s">
        <v>319</v>
      </c>
      <c r="AI9" s="68" t="s">
        <v>336</v>
      </c>
      <c r="AJ9" s="170">
        <v>1000000000</v>
      </c>
      <c r="AK9" s="170">
        <v>1000000000</v>
      </c>
      <c r="AL9" s="170">
        <v>1758333333</v>
      </c>
      <c r="AM9" s="170">
        <v>2370833333</v>
      </c>
      <c r="AN9" s="170">
        <v>3041666667</v>
      </c>
      <c r="AO9" s="170">
        <v>3245833333</v>
      </c>
      <c r="AP9" s="170">
        <v>3333333333</v>
      </c>
      <c r="AQ9" s="170">
        <v>1816666667</v>
      </c>
      <c r="AR9" s="170">
        <v>1350000000</v>
      </c>
      <c r="AS9" s="170">
        <f>+AJ9</f>
        <v>1000000000</v>
      </c>
      <c r="AT9" s="170">
        <f>+AL9+1000000000</f>
        <v>2758333333</v>
      </c>
      <c r="AU9" s="170">
        <f>+AM9+1000000</f>
        <v>2371833333</v>
      </c>
      <c r="AV9" s="170">
        <f>+AM9+1000000</f>
        <v>2371833333</v>
      </c>
      <c r="AW9" s="170">
        <f>+AN9+1000000</f>
        <v>3042666667</v>
      </c>
      <c r="AX9" s="170">
        <f>+AO9+1000000</f>
        <v>3246833333</v>
      </c>
      <c r="AY9" s="170">
        <f>+AP9+1000000</f>
        <v>3334333333</v>
      </c>
      <c r="AZ9" s="170">
        <f>+AQ9</f>
        <v>1816666667</v>
      </c>
      <c r="BA9" s="170">
        <f>+AR9</f>
        <v>1350000000</v>
      </c>
      <c r="BB9" s="48"/>
      <c r="BC9" s="94"/>
      <c r="BD9" s="165" t="s">
        <v>334</v>
      </c>
      <c r="BE9" s="171" t="s">
        <v>312</v>
      </c>
      <c r="BF9" s="75" t="s">
        <v>323</v>
      </c>
      <c r="BG9" s="226">
        <v>268816672</v>
      </c>
      <c r="BH9" s="174">
        <v>391389612</v>
      </c>
      <c r="BI9" s="174">
        <f>+BH9*1.03</f>
        <v>403131300.36000001</v>
      </c>
      <c r="BJ9" s="174">
        <f t="shared" ref="BJ9:BP9" si="12">+BI9*1.03</f>
        <v>415225239.37080002</v>
      </c>
      <c r="BK9" s="174">
        <f t="shared" si="12"/>
        <v>427681996.55192405</v>
      </c>
      <c r="BL9" s="174">
        <f t="shared" si="12"/>
        <v>440512456.4484818</v>
      </c>
      <c r="BM9" s="174">
        <f t="shared" si="12"/>
        <v>453727830.14193624</v>
      </c>
      <c r="BN9" s="174">
        <f t="shared" si="12"/>
        <v>467339665.04619431</v>
      </c>
      <c r="BO9" s="174">
        <f t="shared" si="12"/>
        <v>481359854.99758017</v>
      </c>
      <c r="BP9" s="174">
        <f t="shared" si="12"/>
        <v>495800650.64750761</v>
      </c>
      <c r="BQ9" s="175">
        <f>SUM(BH9:BP9)</f>
        <v>3976168605.564424</v>
      </c>
      <c r="BR9" s="227">
        <v>1</v>
      </c>
      <c r="BS9" s="75"/>
      <c r="BT9" s="228"/>
      <c r="BU9" s="178"/>
      <c r="BV9" s="229">
        <f>+BH9+(CP9*0.5*550)</f>
        <v>485439612</v>
      </c>
      <c r="BW9" s="230">
        <f>+BV9*1.03+(CP9*0.5*550)</f>
        <v>594052800.36000001</v>
      </c>
      <c r="BX9" s="230">
        <f>+BW9*1.03</f>
        <v>611874384.37080002</v>
      </c>
      <c r="BY9" s="230">
        <f t="shared" ref="BY9:CD9" si="13">+BX9*1.03</f>
        <v>630230615.90192401</v>
      </c>
      <c r="BZ9" s="230">
        <f t="shared" si="13"/>
        <v>649137534.37898171</v>
      </c>
      <c r="CA9" s="230">
        <f t="shared" si="13"/>
        <v>668611660.41035116</v>
      </c>
      <c r="CB9" s="230">
        <f t="shared" si="13"/>
        <v>688670010.22266173</v>
      </c>
      <c r="CC9" s="230">
        <f t="shared" si="13"/>
        <v>709330110.52934158</v>
      </c>
      <c r="CD9" s="231">
        <f t="shared" si="13"/>
        <v>730610013.84522188</v>
      </c>
      <c r="CE9" s="173">
        <f>+BV9-BH9</f>
        <v>94050000</v>
      </c>
      <c r="CF9" s="174">
        <f>+BW9-BI9</f>
        <v>190921500</v>
      </c>
      <c r="CG9" s="174">
        <f t="shared" si="11"/>
        <v>196649145</v>
      </c>
      <c r="CH9" s="174">
        <f t="shared" si="11"/>
        <v>202548619.34999996</v>
      </c>
      <c r="CI9" s="174">
        <f t="shared" si="11"/>
        <v>208625077.93049991</v>
      </c>
      <c r="CJ9" s="174">
        <f t="shared" si="11"/>
        <v>214883830.26841491</v>
      </c>
      <c r="CK9" s="174">
        <f t="shared" si="11"/>
        <v>221330345.17646742</v>
      </c>
      <c r="CL9" s="174">
        <f t="shared" si="11"/>
        <v>227970255.53176141</v>
      </c>
      <c r="CM9" s="174">
        <f t="shared" si="11"/>
        <v>234809363.19771427</v>
      </c>
      <c r="CN9" s="175">
        <f>SUM(CE9:CM9)</f>
        <v>1791788136.4548578</v>
      </c>
      <c r="CO9" s="179"/>
      <c r="CP9" s="180">
        <v>342000</v>
      </c>
      <c r="CQ9" s="180" t="s">
        <v>337</v>
      </c>
      <c r="CR9" s="169"/>
      <c r="CS9" s="169"/>
      <c r="CT9" s="169"/>
      <c r="CU9" s="169"/>
      <c r="CV9" s="181">
        <f>+CN9-CP9*550</f>
        <v>1603688136.4548578</v>
      </c>
      <c r="CW9" s="182"/>
      <c r="CX9" s="232"/>
    </row>
    <row r="10" spans="1:102" s="103" customFormat="1" ht="26.1" customHeight="1" x14ac:dyDescent="0.25">
      <c r="A10" s="233"/>
      <c r="B10" s="363"/>
      <c r="C10" s="452"/>
      <c r="D10" s="474"/>
      <c r="E10" s="48"/>
      <c r="F10" s="48"/>
      <c r="G10" s="48"/>
      <c r="H10" s="94"/>
      <c r="I10" s="545"/>
      <c r="J10" s="546"/>
      <c r="K10" s="186"/>
      <c r="L10" s="187"/>
      <c r="M10" s="188"/>
      <c r="N10" s="102"/>
      <c r="O10" s="233"/>
      <c r="P10" s="80"/>
      <c r="Q10" s="81"/>
      <c r="R10" s="81"/>
      <c r="S10" s="81"/>
      <c r="T10" s="81"/>
      <c r="U10" s="81"/>
      <c r="V10" s="81"/>
      <c r="W10" s="81"/>
      <c r="X10" s="81"/>
      <c r="Y10" s="81"/>
      <c r="Z10" s="81"/>
      <c r="AA10" s="81"/>
      <c r="AB10" s="81"/>
      <c r="AC10" s="81"/>
      <c r="AD10" s="81"/>
      <c r="AE10" s="81"/>
      <c r="AF10" s="189"/>
      <c r="AG10" s="80"/>
      <c r="AH10" s="190"/>
      <c r="AI10" s="68" t="s">
        <v>338</v>
      </c>
      <c r="AJ10" s="170">
        <v>0</v>
      </c>
      <c r="AK10" s="170">
        <v>1</v>
      </c>
      <c r="AL10" s="170">
        <v>1</v>
      </c>
      <c r="AM10" s="170">
        <v>0</v>
      </c>
      <c r="AN10" s="170">
        <v>0</v>
      </c>
      <c r="AO10" s="170">
        <v>0</v>
      </c>
      <c r="AP10" s="170">
        <v>0</v>
      </c>
      <c r="AQ10" s="170">
        <v>0</v>
      </c>
      <c r="AR10" s="170">
        <v>0</v>
      </c>
      <c r="AS10" s="170">
        <v>0</v>
      </c>
      <c r="AT10" s="170">
        <v>1</v>
      </c>
      <c r="AU10" s="170">
        <v>1</v>
      </c>
      <c r="AV10" s="170">
        <v>1</v>
      </c>
      <c r="AW10" s="170">
        <v>1</v>
      </c>
      <c r="AX10" s="170">
        <v>0</v>
      </c>
      <c r="AY10" s="170">
        <v>0</v>
      </c>
      <c r="AZ10" s="170">
        <v>0</v>
      </c>
      <c r="BA10" s="170">
        <v>0</v>
      </c>
      <c r="BB10" s="48"/>
      <c r="BC10" s="94"/>
      <c r="BD10" s="186"/>
      <c r="BE10" s="235"/>
      <c r="BF10" s="81"/>
      <c r="BG10" s="192"/>
      <c r="BH10" s="193"/>
      <c r="BI10" s="194"/>
      <c r="BJ10" s="194"/>
      <c r="BK10" s="194"/>
      <c r="BL10" s="194"/>
      <c r="BM10" s="194"/>
      <c r="BN10" s="194"/>
      <c r="BO10" s="194"/>
      <c r="BP10" s="194"/>
      <c r="BQ10" s="195"/>
      <c r="BR10" s="196"/>
      <c r="BS10" s="81"/>
      <c r="BT10" s="81"/>
      <c r="BU10" s="198"/>
      <c r="BV10" s="193"/>
      <c r="BW10" s="194"/>
      <c r="BX10" s="194"/>
      <c r="BY10" s="194"/>
      <c r="BZ10" s="194"/>
      <c r="CA10" s="194"/>
      <c r="CB10" s="194"/>
      <c r="CC10" s="194"/>
      <c r="CD10" s="195"/>
      <c r="CE10" s="193"/>
      <c r="CF10" s="194"/>
      <c r="CG10" s="194"/>
      <c r="CH10" s="194"/>
      <c r="CI10" s="194"/>
      <c r="CJ10" s="194"/>
      <c r="CK10" s="194"/>
      <c r="CL10" s="194"/>
      <c r="CM10" s="194"/>
      <c r="CN10" s="195">
        <f>SUM(CE10:CM10)</f>
        <v>0</v>
      </c>
      <c r="CO10" s="199"/>
      <c r="CP10" s="200"/>
      <c r="CQ10" s="200"/>
      <c r="CR10" s="190"/>
      <c r="CS10" s="190"/>
      <c r="CT10" s="190"/>
      <c r="CU10" s="190"/>
      <c r="CV10" s="201">
        <f>+CN10-CP10*550</f>
        <v>0</v>
      </c>
      <c r="CW10" s="202"/>
      <c r="CX10" s="236"/>
    </row>
    <row r="11" spans="1:102" ht="26.1" hidden="1" customHeight="1" x14ac:dyDescent="0.25">
      <c r="A11" s="143" t="s">
        <v>12</v>
      </c>
      <c r="B11" s="360"/>
      <c r="C11" s="447" t="s">
        <v>12</v>
      </c>
      <c r="D11" s="154" t="s">
        <v>669</v>
      </c>
      <c r="E11" s="448" t="s">
        <v>287</v>
      </c>
      <c r="F11" s="145"/>
      <c r="G11" s="60"/>
      <c r="H11" s="453"/>
      <c r="I11" s="549"/>
      <c r="J11" s="550"/>
      <c r="K11" s="147" t="s">
        <v>253</v>
      </c>
      <c r="L11" s="148" t="s">
        <v>254</v>
      </c>
      <c r="M11" s="149" t="s">
        <v>255</v>
      </c>
      <c r="O11" s="143" t="s">
        <v>12</v>
      </c>
      <c r="P11" s="150"/>
      <c r="Q11" s="145"/>
      <c r="R11" s="145"/>
      <c r="S11" s="145"/>
      <c r="T11" s="145"/>
      <c r="U11" s="145"/>
      <c r="V11" s="145"/>
      <c r="W11" s="145"/>
      <c r="X11" s="145"/>
      <c r="Y11" s="145"/>
      <c r="Z11" s="145"/>
      <c r="AA11" s="145"/>
      <c r="AB11" s="145"/>
      <c r="AC11" s="145"/>
      <c r="AD11" s="145"/>
      <c r="AE11" s="145"/>
      <c r="AF11" s="151"/>
      <c r="AG11" s="150"/>
      <c r="AH11" s="145"/>
      <c r="AI11" s="145"/>
      <c r="AJ11" s="152"/>
      <c r="AK11" s="152"/>
      <c r="AL11" s="152"/>
      <c r="AM11" s="152"/>
      <c r="AN11" s="152"/>
      <c r="AO11" s="152"/>
      <c r="AP11" s="152"/>
      <c r="AQ11" s="152"/>
      <c r="AR11" s="152"/>
      <c r="AS11" s="152"/>
      <c r="AT11" s="152"/>
      <c r="AU11" s="152"/>
      <c r="AV11" s="152"/>
      <c r="AW11" s="152"/>
      <c r="AX11" s="152"/>
      <c r="AY11" s="152"/>
      <c r="AZ11" s="152"/>
      <c r="BA11" s="152"/>
      <c r="BB11" s="145"/>
      <c r="BC11" s="151"/>
      <c r="BD11" s="150"/>
      <c r="BE11" s="154" t="s">
        <v>355</v>
      </c>
      <c r="BF11" s="155"/>
      <c r="BG11" s="156">
        <f>SUM(BG12)</f>
        <v>0</v>
      </c>
      <c r="BH11" s="157">
        <f>SUM(BH12)</f>
        <v>0</v>
      </c>
      <c r="BI11" s="152">
        <f>SUM(BI12)</f>
        <v>0</v>
      </c>
      <c r="BJ11" s="152">
        <f t="shared" ref="BJ11:BP11" si="14">SUM(BJ12)</f>
        <v>0</v>
      </c>
      <c r="BK11" s="152">
        <f t="shared" si="14"/>
        <v>0</v>
      </c>
      <c r="BL11" s="152">
        <f t="shared" si="14"/>
        <v>0</v>
      </c>
      <c r="BM11" s="152">
        <f t="shared" si="14"/>
        <v>0</v>
      </c>
      <c r="BN11" s="152">
        <f t="shared" si="14"/>
        <v>0</v>
      </c>
      <c r="BO11" s="152">
        <f t="shared" si="14"/>
        <v>0</v>
      </c>
      <c r="BP11" s="152">
        <f t="shared" si="14"/>
        <v>0</v>
      </c>
      <c r="BQ11" s="156">
        <f>SUM(BH11:BP11)</f>
        <v>0</v>
      </c>
      <c r="BR11" s="158"/>
      <c r="BS11" s="145"/>
      <c r="BT11" s="145"/>
      <c r="BU11" s="159"/>
      <c r="BV11" s="157">
        <f>SUM(BV12)</f>
        <v>33000000</v>
      </c>
      <c r="BW11" s="152">
        <f>SUM(BW12)</f>
        <v>33000000</v>
      </c>
      <c r="BX11" s="152">
        <f t="shared" ref="BX11:CC11" si="15">SUM(BX12)</f>
        <v>0</v>
      </c>
      <c r="BY11" s="152">
        <f t="shared" si="15"/>
        <v>0</v>
      </c>
      <c r="BZ11" s="152">
        <f t="shared" si="15"/>
        <v>0</v>
      </c>
      <c r="CA11" s="152">
        <f t="shared" si="15"/>
        <v>0</v>
      </c>
      <c r="CB11" s="152">
        <f t="shared" si="15"/>
        <v>0</v>
      </c>
      <c r="CC11" s="152">
        <f t="shared" si="15"/>
        <v>0</v>
      </c>
      <c r="CD11" s="156">
        <f>SUM(CD12)</f>
        <v>0</v>
      </c>
      <c r="CE11" s="157">
        <f>SUM(CE12)</f>
        <v>33000000</v>
      </c>
      <c r="CF11" s="152">
        <f>SUM(CF12)</f>
        <v>33000000</v>
      </c>
      <c r="CG11" s="152">
        <f t="shared" ref="CG11:CM11" si="16">SUM(CG12)</f>
        <v>0</v>
      </c>
      <c r="CH11" s="152">
        <f t="shared" si="16"/>
        <v>0</v>
      </c>
      <c r="CI11" s="152">
        <f t="shared" si="16"/>
        <v>0</v>
      </c>
      <c r="CJ11" s="152">
        <f t="shared" si="16"/>
        <v>0</v>
      </c>
      <c r="CK11" s="152">
        <f t="shared" si="16"/>
        <v>0</v>
      </c>
      <c r="CL11" s="152">
        <f t="shared" si="16"/>
        <v>0</v>
      </c>
      <c r="CM11" s="152">
        <f t="shared" si="16"/>
        <v>0</v>
      </c>
      <c r="CN11" s="156">
        <f t="shared" ref="CN11:CN21" si="17">SUM(CE11:CM11)</f>
        <v>66000000</v>
      </c>
      <c r="CO11" s="158"/>
      <c r="CP11" s="160">
        <f>SUM(CP12)</f>
        <v>198000</v>
      </c>
      <c r="CQ11" s="145"/>
      <c r="CR11" s="145"/>
      <c r="CS11" s="145"/>
      <c r="CT11" s="145"/>
      <c r="CU11" s="145"/>
      <c r="CV11" s="161">
        <f>SUM(CV12)</f>
        <v>66000000</v>
      </c>
      <c r="CW11" s="151"/>
      <c r="CX11" s="162"/>
    </row>
    <row r="12" spans="1:102" ht="26.1" customHeight="1" x14ac:dyDescent="0.25">
      <c r="A12" s="204" t="s">
        <v>13</v>
      </c>
      <c r="B12" s="362"/>
      <c r="C12" s="454" t="s">
        <v>459</v>
      </c>
      <c r="D12" s="451" t="s">
        <v>670</v>
      </c>
      <c r="E12" s="48" t="s">
        <v>463</v>
      </c>
      <c r="F12" s="50" t="s">
        <v>464</v>
      </c>
      <c r="G12" s="48" t="s">
        <v>465</v>
      </c>
      <c r="H12" s="455" t="s">
        <v>103</v>
      </c>
      <c r="I12" s="547"/>
      <c r="J12" s="548" t="s">
        <v>230</v>
      </c>
      <c r="K12" s="206"/>
      <c r="L12" s="207"/>
      <c r="M12" s="208"/>
      <c r="O12" s="237" t="s">
        <v>459</v>
      </c>
      <c r="P12" s="47" t="s">
        <v>463</v>
      </c>
      <c r="Q12" s="48" t="s">
        <v>398</v>
      </c>
      <c r="R12" s="48"/>
      <c r="S12" s="48" t="s">
        <v>307</v>
      </c>
      <c r="T12" s="48"/>
      <c r="U12" s="48" t="s">
        <v>314</v>
      </c>
      <c r="V12" s="48"/>
      <c r="W12" s="48"/>
      <c r="X12" s="48"/>
      <c r="Y12" s="48"/>
      <c r="Z12" s="48"/>
      <c r="AA12" s="48"/>
      <c r="AB12" s="48" t="s">
        <v>314</v>
      </c>
      <c r="AC12" s="48"/>
      <c r="AD12" s="48"/>
      <c r="AE12" s="48"/>
      <c r="AF12" s="209"/>
      <c r="AG12" s="47"/>
      <c r="AH12" s="210"/>
      <c r="AI12" s="68" t="s">
        <v>460</v>
      </c>
      <c r="AJ12" s="170">
        <v>0</v>
      </c>
      <c r="AK12" s="170">
        <v>0</v>
      </c>
      <c r="AL12" s="170">
        <v>0</v>
      </c>
      <c r="AM12" s="170">
        <v>0</v>
      </c>
      <c r="AN12" s="170">
        <v>0</v>
      </c>
      <c r="AO12" s="170">
        <v>0</v>
      </c>
      <c r="AP12" s="170">
        <v>0</v>
      </c>
      <c r="AQ12" s="170">
        <v>0</v>
      </c>
      <c r="AR12" s="170">
        <v>0</v>
      </c>
      <c r="AS12" s="170">
        <v>0</v>
      </c>
      <c r="AT12" s="170">
        <v>1</v>
      </c>
      <c r="AU12" s="170">
        <v>0</v>
      </c>
      <c r="AV12" s="170">
        <v>0</v>
      </c>
      <c r="AW12" s="170">
        <v>0</v>
      </c>
      <c r="AX12" s="170">
        <v>0</v>
      </c>
      <c r="AY12" s="170">
        <v>0</v>
      </c>
      <c r="AZ12" s="170">
        <v>0</v>
      </c>
      <c r="BA12" s="170">
        <v>0</v>
      </c>
      <c r="BB12" s="48"/>
      <c r="BC12" s="48"/>
      <c r="BD12" s="206"/>
      <c r="BE12" s="68" t="s">
        <v>349</v>
      </c>
      <c r="BF12" s="48" t="s">
        <v>313</v>
      </c>
      <c r="BG12" s="211"/>
      <c r="BH12" s="212">
        <v>0</v>
      </c>
      <c r="BI12" s="170">
        <v>0</v>
      </c>
      <c r="BJ12" s="170">
        <v>0</v>
      </c>
      <c r="BK12" s="170">
        <v>0</v>
      </c>
      <c r="BL12" s="170">
        <v>0</v>
      </c>
      <c r="BM12" s="170">
        <v>0</v>
      </c>
      <c r="BN12" s="170">
        <v>0</v>
      </c>
      <c r="BO12" s="170">
        <v>0</v>
      </c>
      <c r="BP12" s="170">
        <v>0</v>
      </c>
      <c r="BQ12" s="213">
        <v>0</v>
      </c>
      <c r="BR12" s="214"/>
      <c r="BS12" s="48"/>
      <c r="BT12" s="48"/>
      <c r="BU12" s="216"/>
      <c r="BV12" s="212">
        <f>60000*550</f>
        <v>33000000</v>
      </c>
      <c r="BW12" s="217">
        <f>60000*550</f>
        <v>33000000</v>
      </c>
      <c r="BX12" s="170">
        <v>0</v>
      </c>
      <c r="BY12" s="170">
        <v>0</v>
      </c>
      <c r="BZ12" s="170">
        <v>0</v>
      </c>
      <c r="CA12" s="170">
        <v>0</v>
      </c>
      <c r="CB12" s="170">
        <v>0</v>
      </c>
      <c r="CC12" s="170">
        <v>0</v>
      </c>
      <c r="CD12" s="213">
        <v>0</v>
      </c>
      <c r="CE12" s="217">
        <f>+BV12-BH12</f>
        <v>33000000</v>
      </c>
      <c r="CF12" s="170">
        <f>+BW12-BI12</f>
        <v>33000000</v>
      </c>
      <c r="CG12" s="170">
        <f t="shared" ref="CG12:CM12" si="18">+BX12-BJ12</f>
        <v>0</v>
      </c>
      <c r="CH12" s="170">
        <f t="shared" si="18"/>
        <v>0</v>
      </c>
      <c r="CI12" s="170">
        <f t="shared" si="18"/>
        <v>0</v>
      </c>
      <c r="CJ12" s="170">
        <f t="shared" si="18"/>
        <v>0</v>
      </c>
      <c r="CK12" s="170">
        <f t="shared" si="18"/>
        <v>0</v>
      </c>
      <c r="CL12" s="170">
        <f t="shared" si="18"/>
        <v>0</v>
      </c>
      <c r="CM12" s="170">
        <f t="shared" si="18"/>
        <v>0</v>
      </c>
      <c r="CN12" s="218">
        <f>SUM(CE12:CM12)</f>
        <v>66000000</v>
      </c>
      <c r="CO12" s="238"/>
      <c r="CP12" s="239">
        <v>198000</v>
      </c>
      <c r="CQ12" s="239" t="s">
        <v>461</v>
      </c>
      <c r="CR12" s="210"/>
      <c r="CS12" s="210"/>
      <c r="CT12" s="210"/>
      <c r="CU12" s="210"/>
      <c r="CV12" s="240">
        <f>+CN12</f>
        <v>66000000</v>
      </c>
      <c r="CW12" s="222"/>
      <c r="CX12" s="223"/>
    </row>
    <row r="13" spans="1:102" ht="26.1" hidden="1" customHeight="1" x14ac:dyDescent="0.25">
      <c r="A13" s="143" t="s">
        <v>458</v>
      </c>
      <c r="B13" s="360"/>
      <c r="C13" s="447" t="s">
        <v>458</v>
      </c>
      <c r="D13" s="154" t="s">
        <v>671</v>
      </c>
      <c r="E13" s="448" t="s">
        <v>489</v>
      </c>
      <c r="F13" s="145"/>
      <c r="G13" s="60"/>
      <c r="H13" s="453"/>
      <c r="I13" s="549"/>
      <c r="J13" s="550"/>
      <c r="K13" s="147" t="s">
        <v>253</v>
      </c>
      <c r="L13" s="148" t="s">
        <v>254</v>
      </c>
      <c r="M13" s="149" t="s">
        <v>255</v>
      </c>
      <c r="O13" s="143" t="s">
        <v>458</v>
      </c>
      <c r="P13" s="150"/>
      <c r="Q13" s="145"/>
      <c r="R13" s="145"/>
      <c r="S13" s="145"/>
      <c r="T13" s="145"/>
      <c r="U13" s="145"/>
      <c r="V13" s="145"/>
      <c r="W13" s="145"/>
      <c r="X13" s="145"/>
      <c r="Y13" s="145"/>
      <c r="Z13" s="145"/>
      <c r="AA13" s="145"/>
      <c r="AB13" s="145"/>
      <c r="AC13" s="145"/>
      <c r="AD13" s="145"/>
      <c r="AE13" s="145"/>
      <c r="AF13" s="151"/>
      <c r="AG13" s="150"/>
      <c r="AH13" s="145"/>
      <c r="AI13" s="145"/>
      <c r="AJ13" s="152"/>
      <c r="AK13" s="152"/>
      <c r="AL13" s="152"/>
      <c r="AM13" s="152"/>
      <c r="AN13" s="152"/>
      <c r="AO13" s="152"/>
      <c r="AP13" s="152"/>
      <c r="AQ13" s="152"/>
      <c r="AR13" s="152"/>
      <c r="AS13" s="152"/>
      <c r="AT13" s="152"/>
      <c r="AU13" s="152"/>
      <c r="AV13" s="152"/>
      <c r="AW13" s="152"/>
      <c r="AX13" s="152"/>
      <c r="AY13" s="152"/>
      <c r="AZ13" s="152"/>
      <c r="BA13" s="152"/>
      <c r="BB13" s="145"/>
      <c r="BC13" s="151"/>
      <c r="BD13" s="150"/>
      <c r="BE13" s="154" t="s">
        <v>357</v>
      </c>
      <c r="BF13" s="155"/>
      <c r="BG13" s="156">
        <f>SUM(BG14)</f>
        <v>0</v>
      </c>
      <c r="BH13" s="157">
        <f>SUM(BH14:BH15)</f>
        <v>2977200</v>
      </c>
      <c r="BI13" s="152">
        <f>SUM(BI14:BI15)</f>
        <v>3126060</v>
      </c>
      <c r="BJ13" s="152">
        <f t="shared" ref="BJ13:BP13" si="19">SUM(BJ14:BJ15)</f>
        <v>3282363</v>
      </c>
      <c r="BK13" s="152">
        <f t="shared" si="19"/>
        <v>3446481.1500000004</v>
      </c>
      <c r="BL13" s="152">
        <f t="shared" si="19"/>
        <v>3618805.2075000005</v>
      </c>
      <c r="BM13" s="152">
        <f t="shared" si="19"/>
        <v>3799745.4678750006</v>
      </c>
      <c r="BN13" s="152">
        <f t="shared" si="19"/>
        <v>3989732.7412687507</v>
      </c>
      <c r="BO13" s="152">
        <f t="shared" si="19"/>
        <v>4189219.3783321884</v>
      </c>
      <c r="BP13" s="152">
        <f t="shared" si="19"/>
        <v>4398680.3472487982</v>
      </c>
      <c r="BQ13" s="156">
        <f t="shared" ref="BQ13:BQ18" si="20">SUM(BH13:BP13)</f>
        <v>32828287.292224742</v>
      </c>
      <c r="BR13" s="158"/>
      <c r="BS13" s="145"/>
      <c r="BT13" s="145"/>
      <c r="BU13" s="159"/>
      <c r="BV13" s="157">
        <f>SUM(BV14:BV15)</f>
        <v>60270000</v>
      </c>
      <c r="BW13" s="152">
        <f>SUM(BW14:BW15)</f>
        <v>112683500</v>
      </c>
      <c r="BX13" s="152">
        <f t="shared" ref="BX13:CC13" si="21">SUM(BX14:BX15)</f>
        <v>165117675</v>
      </c>
      <c r="BY13" s="152">
        <f t="shared" si="21"/>
        <v>217573558.75</v>
      </c>
      <c r="BZ13" s="152">
        <f t="shared" si="21"/>
        <v>270052236.6875</v>
      </c>
      <c r="CA13" s="152">
        <f t="shared" si="21"/>
        <v>322554848.52187502</v>
      </c>
      <c r="CB13" s="152">
        <f t="shared" si="21"/>
        <v>375082590.94796872</v>
      </c>
      <c r="CC13" s="152">
        <f t="shared" si="21"/>
        <v>427636720.49536717</v>
      </c>
      <c r="CD13" s="156">
        <f>SUM(CD14:CD15)</f>
        <v>441218556.52013552</v>
      </c>
      <c r="CE13" s="157">
        <f>SUM(CE14:CE15)</f>
        <v>57292800</v>
      </c>
      <c r="CF13" s="152">
        <f>SUM(CF14:CF15)</f>
        <v>109557440</v>
      </c>
      <c r="CG13" s="152">
        <f t="shared" ref="CG13:CM13" si="22">SUM(CG14:CG15)</f>
        <v>161835312</v>
      </c>
      <c r="CH13" s="152">
        <f t="shared" si="22"/>
        <v>214127077.59999999</v>
      </c>
      <c r="CI13" s="152">
        <f t="shared" si="22"/>
        <v>266433431.47999999</v>
      </c>
      <c r="CJ13" s="152">
        <f t="shared" si="22"/>
        <v>318755103.05400002</v>
      </c>
      <c r="CK13" s="152">
        <f t="shared" si="22"/>
        <v>371092858.20670003</v>
      </c>
      <c r="CL13" s="152">
        <f t="shared" si="22"/>
        <v>423447501.11703497</v>
      </c>
      <c r="CM13" s="152">
        <f t="shared" si="22"/>
        <v>436819876.17288673</v>
      </c>
      <c r="CN13" s="156">
        <f t="shared" si="17"/>
        <v>2359361399.6306219</v>
      </c>
      <c r="CO13" s="158"/>
      <c r="CP13" s="160">
        <f>SUM(CP14:CP15)</f>
        <v>89000</v>
      </c>
      <c r="CQ13" s="145"/>
      <c r="CR13" s="145"/>
      <c r="CS13" s="145"/>
      <c r="CT13" s="145"/>
      <c r="CU13" s="145"/>
      <c r="CV13" s="161">
        <f>SUM(CV14:CV15)</f>
        <v>2310411399.6306219</v>
      </c>
      <c r="CW13" s="151"/>
      <c r="CX13" s="162"/>
    </row>
    <row r="14" spans="1:102" ht="26.1" customHeight="1" x14ac:dyDescent="0.25">
      <c r="A14" s="204" t="s">
        <v>14</v>
      </c>
      <c r="B14" s="362"/>
      <c r="C14" s="450" t="s">
        <v>14</v>
      </c>
      <c r="D14" s="451" t="s">
        <v>672</v>
      </c>
      <c r="E14" s="48" t="s">
        <v>5</v>
      </c>
      <c r="F14" s="48" t="s">
        <v>402</v>
      </c>
      <c r="G14" s="48" t="s">
        <v>373</v>
      </c>
      <c r="H14" s="94" t="s">
        <v>479</v>
      </c>
      <c r="I14" s="547" t="s">
        <v>244</v>
      </c>
      <c r="J14" s="548" t="s">
        <v>237</v>
      </c>
      <c r="K14" s="206"/>
      <c r="L14" s="207"/>
      <c r="M14" s="208"/>
      <c r="O14" s="204" t="s">
        <v>14</v>
      </c>
      <c r="P14" s="47" t="s">
        <v>5</v>
      </c>
      <c r="Q14" s="48" t="s">
        <v>402</v>
      </c>
      <c r="R14" s="48" t="s">
        <v>314</v>
      </c>
      <c r="S14" s="48" t="s">
        <v>314</v>
      </c>
      <c r="T14" s="48" t="s">
        <v>314</v>
      </c>
      <c r="U14" s="48"/>
      <c r="V14" s="48" t="s">
        <v>314</v>
      </c>
      <c r="W14" s="48"/>
      <c r="X14" s="48" t="s">
        <v>314</v>
      </c>
      <c r="Y14" s="48"/>
      <c r="Z14" s="48"/>
      <c r="AA14" s="48"/>
      <c r="AB14" s="48"/>
      <c r="AC14" s="48" t="s">
        <v>307</v>
      </c>
      <c r="AD14" s="207"/>
      <c r="AE14" s="207"/>
      <c r="AF14" s="208"/>
      <c r="AG14" s="47" t="s">
        <v>315</v>
      </c>
      <c r="AH14" s="210" t="s">
        <v>319</v>
      </c>
      <c r="AI14" s="68" t="s">
        <v>377</v>
      </c>
      <c r="AJ14" s="170">
        <v>9</v>
      </c>
      <c r="AK14" s="170">
        <v>9</v>
      </c>
      <c r="AL14" s="170">
        <v>9</v>
      </c>
      <c r="AM14" s="170">
        <v>9</v>
      </c>
      <c r="AN14" s="170">
        <v>9</v>
      </c>
      <c r="AO14" s="170">
        <v>9</v>
      </c>
      <c r="AP14" s="170">
        <v>9</v>
      </c>
      <c r="AQ14" s="170">
        <v>9</v>
      </c>
      <c r="AR14" s="170">
        <v>9</v>
      </c>
      <c r="AS14" s="170">
        <v>25</v>
      </c>
      <c r="AT14" s="170">
        <v>25</v>
      </c>
      <c r="AU14" s="170">
        <v>25</v>
      </c>
      <c r="AV14" s="170">
        <v>25</v>
      </c>
      <c r="AW14" s="170">
        <v>25</v>
      </c>
      <c r="AX14" s="170">
        <v>25</v>
      </c>
      <c r="AY14" s="170">
        <v>25</v>
      </c>
      <c r="AZ14" s="170">
        <v>25</v>
      </c>
      <c r="BA14" s="170">
        <v>25</v>
      </c>
      <c r="BB14" s="48"/>
      <c r="BC14" s="94"/>
      <c r="BD14" s="206"/>
      <c r="BE14" s="68" t="s">
        <v>349</v>
      </c>
      <c r="BF14" s="48" t="s">
        <v>313</v>
      </c>
      <c r="BG14" s="241"/>
      <c r="BH14" s="212">
        <f>+AJ14*330800</f>
        <v>2977200</v>
      </c>
      <c r="BI14" s="170">
        <f>+BH14*1.05</f>
        <v>3126060</v>
      </c>
      <c r="BJ14" s="170">
        <f t="shared" ref="BJ14:BP14" si="23">+BI14*1.05</f>
        <v>3282363</v>
      </c>
      <c r="BK14" s="170">
        <f t="shared" si="23"/>
        <v>3446481.1500000004</v>
      </c>
      <c r="BL14" s="170">
        <f t="shared" si="23"/>
        <v>3618805.2075000005</v>
      </c>
      <c r="BM14" s="170">
        <f t="shared" si="23"/>
        <v>3799745.4678750006</v>
      </c>
      <c r="BN14" s="170">
        <f t="shared" si="23"/>
        <v>3989732.7412687507</v>
      </c>
      <c r="BO14" s="170">
        <f t="shared" si="23"/>
        <v>4189219.3783321884</v>
      </c>
      <c r="BP14" s="170">
        <f t="shared" si="23"/>
        <v>4398680.3472487982</v>
      </c>
      <c r="BQ14" s="213">
        <f t="shared" si="20"/>
        <v>32828287.292224742</v>
      </c>
      <c r="BR14" s="242">
        <v>1</v>
      </c>
      <c r="BS14" s="48"/>
      <c r="BT14" s="48"/>
      <c r="BU14" s="243"/>
      <c r="BV14" s="212">
        <f>+AS14*330800</f>
        <v>8270000</v>
      </c>
      <c r="BW14" s="170">
        <f>+BV14*1.05</f>
        <v>8683500</v>
      </c>
      <c r="BX14" s="170">
        <f t="shared" ref="BX14:CD14" si="24">+BW14*1.05</f>
        <v>9117675</v>
      </c>
      <c r="BY14" s="170">
        <f t="shared" si="24"/>
        <v>9573558.75</v>
      </c>
      <c r="BZ14" s="170">
        <f t="shared" si="24"/>
        <v>10052236.6875</v>
      </c>
      <c r="CA14" s="170">
        <f t="shared" si="24"/>
        <v>10554848.521875</v>
      </c>
      <c r="CB14" s="170">
        <f t="shared" si="24"/>
        <v>11082590.947968749</v>
      </c>
      <c r="CC14" s="170">
        <f t="shared" si="24"/>
        <v>11636720.495367188</v>
      </c>
      <c r="CD14" s="213">
        <f t="shared" si="24"/>
        <v>12218556.520135548</v>
      </c>
      <c r="CE14" s="212">
        <f>+BV14-BH14</f>
        <v>5292800</v>
      </c>
      <c r="CF14" s="170">
        <f t="shared" ref="CF14:CM15" si="25">+BW14-BI14</f>
        <v>5557440</v>
      </c>
      <c r="CG14" s="170">
        <f t="shared" si="25"/>
        <v>5835312</v>
      </c>
      <c r="CH14" s="170">
        <f t="shared" si="25"/>
        <v>6127077.5999999996</v>
      </c>
      <c r="CI14" s="170">
        <f t="shared" si="25"/>
        <v>6433431.4799999995</v>
      </c>
      <c r="CJ14" s="170">
        <f t="shared" si="25"/>
        <v>6755103.0539999995</v>
      </c>
      <c r="CK14" s="170">
        <f t="shared" si="25"/>
        <v>7092858.206699999</v>
      </c>
      <c r="CL14" s="170">
        <f t="shared" si="25"/>
        <v>7447501.1170349997</v>
      </c>
      <c r="CM14" s="170">
        <f t="shared" si="25"/>
        <v>7819876.1728867497</v>
      </c>
      <c r="CN14" s="213">
        <f t="shared" si="17"/>
        <v>58361399.630621754</v>
      </c>
      <c r="CO14" s="219"/>
      <c r="CP14" s="220">
        <v>89000</v>
      </c>
      <c r="CQ14" s="220" t="s">
        <v>378</v>
      </c>
      <c r="CR14" s="210"/>
      <c r="CS14" s="210"/>
      <c r="CT14" s="210"/>
      <c r="CU14" s="210"/>
      <c r="CV14" s="221">
        <f>+CN14-CP14*550</f>
        <v>9411399.6306217536</v>
      </c>
      <c r="CW14" s="222"/>
      <c r="CX14" s="244" t="s">
        <v>379</v>
      </c>
    </row>
    <row r="15" spans="1:102" ht="26.1" customHeight="1" x14ac:dyDescent="0.25">
      <c r="A15" s="204"/>
      <c r="B15" s="362"/>
      <c r="C15" s="450" t="s">
        <v>475</v>
      </c>
      <c r="D15" s="451" t="s">
        <v>754</v>
      </c>
      <c r="E15" s="48" t="s">
        <v>4</v>
      </c>
      <c r="F15" s="48" t="s">
        <v>477</v>
      </c>
      <c r="G15" s="48" t="s">
        <v>395</v>
      </c>
      <c r="H15" s="94" t="s">
        <v>478</v>
      </c>
      <c r="I15" s="547"/>
      <c r="J15" s="548" t="s">
        <v>232</v>
      </c>
      <c r="K15" s="206"/>
      <c r="L15" s="207"/>
      <c r="M15" s="208"/>
      <c r="O15" s="204" t="s">
        <v>475</v>
      </c>
      <c r="P15" s="47" t="s">
        <v>4</v>
      </c>
      <c r="Q15" s="48" t="s">
        <v>407</v>
      </c>
      <c r="R15" s="48" t="s">
        <v>314</v>
      </c>
      <c r="S15" s="48" t="s">
        <v>314</v>
      </c>
      <c r="T15" s="48"/>
      <c r="U15" s="48"/>
      <c r="V15" s="48"/>
      <c r="W15" s="48"/>
      <c r="X15" s="48" t="s">
        <v>307</v>
      </c>
      <c r="Y15" s="48"/>
      <c r="Z15" s="48"/>
      <c r="AA15" s="48"/>
      <c r="AB15" s="48"/>
      <c r="AC15" s="48" t="s">
        <v>314</v>
      </c>
      <c r="AD15" s="207"/>
      <c r="AE15" s="207"/>
      <c r="AF15" s="208"/>
      <c r="AG15" s="47" t="s">
        <v>315</v>
      </c>
      <c r="AH15" s="210" t="s">
        <v>319</v>
      </c>
      <c r="AI15" s="68" t="s">
        <v>476</v>
      </c>
      <c r="AJ15" s="170">
        <v>0</v>
      </c>
      <c r="AK15" s="170">
        <v>0</v>
      </c>
      <c r="AL15" s="170">
        <v>0</v>
      </c>
      <c r="AM15" s="170">
        <v>0</v>
      </c>
      <c r="AN15" s="170">
        <v>0</v>
      </c>
      <c r="AO15" s="170">
        <v>0</v>
      </c>
      <c r="AP15" s="170">
        <v>0</v>
      </c>
      <c r="AQ15" s="170">
        <v>0</v>
      </c>
      <c r="AR15" s="170">
        <v>0</v>
      </c>
      <c r="AS15" s="170">
        <v>4</v>
      </c>
      <c r="AT15" s="170">
        <v>4</v>
      </c>
      <c r="AU15" s="170">
        <v>4</v>
      </c>
      <c r="AV15" s="170">
        <v>4</v>
      </c>
      <c r="AW15" s="170">
        <v>4</v>
      </c>
      <c r="AX15" s="170">
        <v>4</v>
      </c>
      <c r="AY15" s="170">
        <v>4</v>
      </c>
      <c r="AZ15" s="170">
        <v>4</v>
      </c>
      <c r="BA15" s="170">
        <v>1</v>
      </c>
      <c r="BB15" s="48"/>
      <c r="BC15" s="94"/>
      <c r="BD15" s="206"/>
      <c r="BE15" s="68" t="s">
        <v>349</v>
      </c>
      <c r="BF15" s="48" t="s">
        <v>313</v>
      </c>
      <c r="BG15" s="241"/>
      <c r="BH15" s="212">
        <v>0</v>
      </c>
      <c r="BI15" s="170">
        <v>0</v>
      </c>
      <c r="BJ15" s="170">
        <v>0</v>
      </c>
      <c r="BK15" s="170">
        <v>0</v>
      </c>
      <c r="BL15" s="170">
        <v>0</v>
      </c>
      <c r="BM15" s="170">
        <v>0</v>
      </c>
      <c r="BN15" s="170">
        <v>0</v>
      </c>
      <c r="BO15" s="170">
        <v>0</v>
      </c>
      <c r="BP15" s="170">
        <v>0</v>
      </c>
      <c r="BQ15" s="213">
        <f t="shared" si="20"/>
        <v>0</v>
      </c>
      <c r="BR15" s="245"/>
      <c r="BS15" s="48"/>
      <c r="BT15" s="48"/>
      <c r="BU15" s="243"/>
      <c r="BV15" s="212">
        <f>1000000*13*AS15</f>
        <v>52000000</v>
      </c>
      <c r="BW15" s="170">
        <f>+BV15+1000000*13*AT15</f>
        <v>104000000</v>
      </c>
      <c r="BX15" s="170">
        <f t="shared" ref="BX15:CD15" si="26">+BW15+1000000*13*AU15</f>
        <v>156000000</v>
      </c>
      <c r="BY15" s="170">
        <f t="shared" si="26"/>
        <v>208000000</v>
      </c>
      <c r="BZ15" s="170">
        <f t="shared" si="26"/>
        <v>260000000</v>
      </c>
      <c r="CA15" s="170">
        <f t="shared" si="26"/>
        <v>312000000</v>
      </c>
      <c r="CB15" s="170">
        <f t="shared" si="26"/>
        <v>364000000</v>
      </c>
      <c r="CC15" s="170">
        <f t="shared" si="26"/>
        <v>416000000</v>
      </c>
      <c r="CD15" s="170">
        <f t="shared" si="26"/>
        <v>429000000</v>
      </c>
      <c r="CE15" s="212">
        <f>+BV15-BH15</f>
        <v>52000000</v>
      </c>
      <c r="CF15" s="170">
        <f t="shared" si="25"/>
        <v>104000000</v>
      </c>
      <c r="CG15" s="170">
        <f t="shared" si="25"/>
        <v>156000000</v>
      </c>
      <c r="CH15" s="170">
        <f t="shared" si="25"/>
        <v>208000000</v>
      </c>
      <c r="CI15" s="170">
        <f t="shared" si="25"/>
        <v>260000000</v>
      </c>
      <c r="CJ15" s="170">
        <f t="shared" si="25"/>
        <v>312000000</v>
      </c>
      <c r="CK15" s="170">
        <f t="shared" si="25"/>
        <v>364000000</v>
      </c>
      <c r="CL15" s="170">
        <f t="shared" si="25"/>
        <v>416000000</v>
      </c>
      <c r="CM15" s="170">
        <f t="shared" si="25"/>
        <v>429000000</v>
      </c>
      <c r="CN15" s="213">
        <f>SUM(CE15:CM15)</f>
        <v>2301000000</v>
      </c>
      <c r="CO15" s="219"/>
      <c r="CP15" s="220"/>
      <c r="CQ15" s="220"/>
      <c r="CR15" s="210"/>
      <c r="CS15" s="210"/>
      <c r="CT15" s="210"/>
      <c r="CU15" s="210"/>
      <c r="CV15" s="221">
        <f>+CN15</f>
        <v>2301000000</v>
      </c>
      <c r="CW15" s="222"/>
      <c r="CX15" s="246"/>
    </row>
    <row r="16" spans="1:102" ht="26.1" hidden="1" customHeight="1" x14ac:dyDescent="0.25">
      <c r="A16" s="143" t="s">
        <v>15</v>
      </c>
      <c r="B16" s="360"/>
      <c r="C16" s="447" t="s">
        <v>15</v>
      </c>
      <c r="D16" s="154" t="s">
        <v>673</v>
      </c>
      <c r="E16" s="448" t="s">
        <v>4</v>
      </c>
      <c r="F16" s="145"/>
      <c r="G16" s="60"/>
      <c r="H16" s="456"/>
      <c r="I16" s="549"/>
      <c r="J16" s="550"/>
      <c r="K16" s="147" t="s">
        <v>256</v>
      </c>
      <c r="L16" s="148"/>
      <c r="M16" s="149"/>
      <c r="O16" s="143" t="s">
        <v>15</v>
      </c>
      <c r="P16" s="150"/>
      <c r="Q16" s="145"/>
      <c r="R16" s="145"/>
      <c r="S16" s="145"/>
      <c r="T16" s="145"/>
      <c r="U16" s="145"/>
      <c r="V16" s="145"/>
      <c r="W16" s="145"/>
      <c r="X16" s="145"/>
      <c r="Y16" s="145"/>
      <c r="Z16" s="145"/>
      <c r="AA16" s="145"/>
      <c r="AB16" s="145"/>
      <c r="AC16" s="145"/>
      <c r="AD16" s="145"/>
      <c r="AE16" s="145"/>
      <c r="AF16" s="151"/>
      <c r="AG16" s="150"/>
      <c r="AH16" s="145"/>
      <c r="AI16" s="145"/>
      <c r="AJ16" s="152"/>
      <c r="AK16" s="152"/>
      <c r="AL16" s="152"/>
      <c r="AM16" s="152"/>
      <c r="AN16" s="152"/>
      <c r="AO16" s="152"/>
      <c r="AP16" s="152"/>
      <c r="AQ16" s="152"/>
      <c r="AR16" s="152"/>
      <c r="AS16" s="152"/>
      <c r="AT16" s="152"/>
      <c r="AU16" s="152"/>
      <c r="AV16" s="152"/>
      <c r="AW16" s="152"/>
      <c r="AX16" s="152"/>
      <c r="AY16" s="152"/>
      <c r="AZ16" s="152"/>
      <c r="BA16" s="152"/>
      <c r="BB16" s="145"/>
      <c r="BC16" s="151"/>
      <c r="BD16" s="150"/>
      <c r="BE16" s="154" t="s">
        <v>357</v>
      </c>
      <c r="BF16" s="155"/>
      <c r="BG16" s="156">
        <f>SUM(BG17)</f>
        <v>0</v>
      </c>
      <c r="BH16" s="157">
        <f>SUM(BH17:BH18)</f>
        <v>904815450</v>
      </c>
      <c r="BI16" s="152">
        <f>SUM(BI17:BI18)</f>
        <v>950056222.5</v>
      </c>
      <c r="BJ16" s="152">
        <f t="shared" ref="BJ16:BP16" si="27">SUM(BJ17:BJ18)</f>
        <v>997559033.625</v>
      </c>
      <c r="BK16" s="152">
        <f t="shared" si="27"/>
        <v>1047436985.3062501</v>
      </c>
      <c r="BL16" s="152">
        <f t="shared" si="27"/>
        <v>1099808834.5715625</v>
      </c>
      <c r="BM16" s="152">
        <f t="shared" si="27"/>
        <v>1154799276.3001406</v>
      </c>
      <c r="BN16" s="152">
        <f t="shared" si="27"/>
        <v>1212539240.1151476</v>
      </c>
      <c r="BO16" s="152">
        <f t="shared" si="27"/>
        <v>1273166202.1209049</v>
      </c>
      <c r="BP16" s="152">
        <f t="shared" si="27"/>
        <v>1336824512.2269502</v>
      </c>
      <c r="BQ16" s="156">
        <f t="shared" si="20"/>
        <v>9977005756.765955</v>
      </c>
      <c r="BR16" s="158"/>
      <c r="BS16" s="145"/>
      <c r="BT16" s="145"/>
      <c r="BU16" s="159"/>
      <c r="BV16" s="157">
        <f>SUM(BV17:BV18)</f>
        <v>1495463200</v>
      </c>
      <c r="BW16" s="152">
        <f>SUM(BW17:BW18)</f>
        <v>1476543860</v>
      </c>
      <c r="BX16" s="152">
        <f t="shared" ref="BX16:CC16" si="28">SUM(BX17:BX18)</f>
        <v>1426208553</v>
      </c>
      <c r="BY16" s="152">
        <f t="shared" si="28"/>
        <v>1497518980.6500001</v>
      </c>
      <c r="BZ16" s="152">
        <f t="shared" si="28"/>
        <v>1572394929.6825001</v>
      </c>
      <c r="CA16" s="152">
        <f t="shared" si="28"/>
        <v>1651014676.1666253</v>
      </c>
      <c r="CB16" s="152">
        <f t="shared" si="28"/>
        <v>1733565409.9749565</v>
      </c>
      <c r="CC16" s="152">
        <f t="shared" si="28"/>
        <v>1820243680.4737043</v>
      </c>
      <c r="CD16" s="156">
        <f>SUM(CD17:CD18)</f>
        <v>1911255864.4973896</v>
      </c>
      <c r="CE16" s="157">
        <f>SUM(CE17:CE18)</f>
        <v>590647750</v>
      </c>
      <c r="CF16" s="152">
        <f t="shared" ref="CF16:CL16" si="29">SUM(CF17:CF18)</f>
        <v>526487637.5</v>
      </c>
      <c r="CG16" s="152">
        <f t="shared" si="29"/>
        <v>428649519.375</v>
      </c>
      <c r="CH16" s="152">
        <f t="shared" si="29"/>
        <v>450081995.34375</v>
      </c>
      <c r="CI16" s="152">
        <f t="shared" si="29"/>
        <v>472586095.1109376</v>
      </c>
      <c r="CJ16" s="152">
        <f t="shared" si="29"/>
        <v>496215399.86648464</v>
      </c>
      <c r="CK16" s="152">
        <f t="shared" si="29"/>
        <v>521026169.85980892</v>
      </c>
      <c r="CL16" s="152">
        <f t="shared" si="29"/>
        <v>547077478.35279942</v>
      </c>
      <c r="CM16" s="152">
        <f>SUM(CM17:CM18)</f>
        <v>574431352.27043939</v>
      </c>
      <c r="CN16" s="156">
        <f t="shared" si="17"/>
        <v>4607203397.6792202</v>
      </c>
      <c r="CO16" s="158"/>
      <c r="CP16" s="160">
        <f>SUM(CP17:CP18)</f>
        <v>772000</v>
      </c>
      <c r="CQ16" s="145"/>
      <c r="CR16" s="145"/>
      <c r="CS16" s="145"/>
      <c r="CT16" s="145"/>
      <c r="CU16" s="145"/>
      <c r="CV16" s="161">
        <f>SUM(CV17:CV18)</f>
        <v>4182603397.6792202</v>
      </c>
      <c r="CW16" s="151"/>
      <c r="CX16" s="162"/>
    </row>
    <row r="17" spans="1:102" ht="26.1" customHeight="1" x14ac:dyDescent="0.25">
      <c r="A17" s="163" t="s">
        <v>16</v>
      </c>
      <c r="B17" s="362"/>
      <c r="C17" s="450" t="s">
        <v>437</v>
      </c>
      <c r="D17" s="451" t="s">
        <v>674</v>
      </c>
      <c r="E17" s="48" t="s">
        <v>4</v>
      </c>
      <c r="F17" s="48" t="s">
        <v>438</v>
      </c>
      <c r="G17" s="48" t="s">
        <v>393</v>
      </c>
      <c r="H17" s="94" t="s">
        <v>104</v>
      </c>
      <c r="I17" s="547"/>
      <c r="J17" s="548" t="s">
        <v>232</v>
      </c>
      <c r="K17" s="206"/>
      <c r="L17" s="207"/>
      <c r="M17" s="208"/>
      <c r="O17" s="204" t="s">
        <v>437</v>
      </c>
      <c r="P17" s="47" t="s">
        <v>438</v>
      </c>
      <c r="Q17" s="48" t="s">
        <v>393</v>
      </c>
      <c r="R17" s="48" t="s">
        <v>314</v>
      </c>
      <c r="S17" s="48" t="s">
        <v>314</v>
      </c>
      <c r="T17" s="48" t="s">
        <v>314</v>
      </c>
      <c r="U17" s="48" t="s">
        <v>314</v>
      </c>
      <c r="V17" s="48" t="s">
        <v>314</v>
      </c>
      <c r="W17" s="48"/>
      <c r="X17" s="48" t="s">
        <v>307</v>
      </c>
      <c r="Y17" s="48"/>
      <c r="Z17" s="48"/>
      <c r="AA17" s="48"/>
      <c r="AB17" s="48"/>
      <c r="AC17" s="48" t="s">
        <v>314</v>
      </c>
      <c r="AD17" s="48"/>
      <c r="AE17" s="48"/>
      <c r="AF17" s="209"/>
      <c r="AG17" s="47" t="s">
        <v>315</v>
      </c>
      <c r="AH17" s="210" t="s">
        <v>319</v>
      </c>
      <c r="AI17" s="68" t="s">
        <v>439</v>
      </c>
      <c r="AJ17" s="170">
        <v>0</v>
      </c>
      <c r="AK17" s="170">
        <v>0</v>
      </c>
      <c r="AL17" s="170">
        <v>0</v>
      </c>
      <c r="AM17" s="170">
        <v>0</v>
      </c>
      <c r="AN17" s="170">
        <v>0</v>
      </c>
      <c r="AO17" s="170">
        <v>0</v>
      </c>
      <c r="AP17" s="170">
        <v>0</v>
      </c>
      <c r="AQ17" s="170">
        <v>0</v>
      </c>
      <c r="AR17" s="170">
        <v>0</v>
      </c>
      <c r="AS17" s="170">
        <v>9</v>
      </c>
      <c r="AT17" s="170">
        <v>7</v>
      </c>
      <c r="AU17" s="170">
        <v>0</v>
      </c>
      <c r="AV17" s="170">
        <v>0</v>
      </c>
      <c r="AW17" s="170">
        <v>0</v>
      </c>
      <c r="AX17" s="170">
        <v>0</v>
      </c>
      <c r="AY17" s="170">
        <v>0</v>
      </c>
      <c r="AZ17" s="170">
        <v>0</v>
      </c>
      <c r="BA17" s="170">
        <v>0</v>
      </c>
      <c r="BB17" s="48"/>
      <c r="BC17" s="48"/>
      <c r="BD17" s="206"/>
      <c r="BE17" s="68" t="s">
        <v>349</v>
      </c>
      <c r="BF17" s="48" t="s">
        <v>313</v>
      </c>
      <c r="BG17" s="211"/>
      <c r="BH17" s="212">
        <v>0</v>
      </c>
      <c r="BI17" s="170">
        <v>0</v>
      </c>
      <c r="BJ17" s="170">
        <v>0</v>
      </c>
      <c r="BK17" s="170">
        <v>0</v>
      </c>
      <c r="BL17" s="170">
        <v>0</v>
      </c>
      <c r="BM17" s="170">
        <v>0</v>
      </c>
      <c r="BN17" s="170">
        <v>0</v>
      </c>
      <c r="BO17" s="170">
        <v>0</v>
      </c>
      <c r="BP17" s="170">
        <v>0</v>
      </c>
      <c r="BQ17" s="213">
        <f t="shared" si="20"/>
        <v>0</v>
      </c>
      <c r="BR17" s="214"/>
      <c r="BS17" s="48"/>
      <c r="BT17" s="48"/>
      <c r="BU17" s="216"/>
      <c r="BV17" s="212">
        <f>367000*550</f>
        <v>201850000</v>
      </c>
      <c r="BW17" s="170">
        <f>215000*550</f>
        <v>118250000</v>
      </c>
      <c r="BX17" s="170">
        <v>0</v>
      </c>
      <c r="BY17" s="170">
        <v>0</v>
      </c>
      <c r="BZ17" s="170">
        <v>0</v>
      </c>
      <c r="CA17" s="170">
        <v>0</v>
      </c>
      <c r="CB17" s="170">
        <v>0</v>
      </c>
      <c r="CC17" s="170">
        <v>0</v>
      </c>
      <c r="CD17" s="213">
        <f t="shared" ref="BX17:CD18" si="30">+CC17*1.05</f>
        <v>0</v>
      </c>
      <c r="CE17" s="217">
        <f>+BV17-BH17</f>
        <v>201850000</v>
      </c>
      <c r="CF17" s="217">
        <f>+BW17-BI17</f>
        <v>118250000</v>
      </c>
      <c r="CG17" s="217">
        <f t="shared" ref="CG17:CM17" si="31">+BX17-BJ17</f>
        <v>0</v>
      </c>
      <c r="CH17" s="217">
        <f t="shared" si="31"/>
        <v>0</v>
      </c>
      <c r="CI17" s="217">
        <f t="shared" si="31"/>
        <v>0</v>
      </c>
      <c r="CJ17" s="217">
        <f t="shared" si="31"/>
        <v>0</v>
      </c>
      <c r="CK17" s="217">
        <f t="shared" si="31"/>
        <v>0</v>
      </c>
      <c r="CL17" s="217">
        <f t="shared" si="31"/>
        <v>0</v>
      </c>
      <c r="CM17" s="217">
        <f t="shared" si="31"/>
        <v>0</v>
      </c>
      <c r="CN17" s="218">
        <f>SUM(CE17:CM17)</f>
        <v>320100000</v>
      </c>
      <c r="CO17" s="219"/>
      <c r="CP17" s="220">
        <v>582000</v>
      </c>
      <c r="CQ17" s="220" t="s">
        <v>337</v>
      </c>
      <c r="CR17" s="210"/>
      <c r="CS17" s="210"/>
      <c r="CT17" s="210"/>
      <c r="CU17" s="210"/>
      <c r="CV17" s="221">
        <f>+CN17-CP17*550</f>
        <v>0</v>
      </c>
      <c r="CW17" s="222"/>
      <c r="CX17" s="248"/>
    </row>
    <row r="18" spans="1:102" ht="26.1" customHeight="1" x14ac:dyDescent="0.25">
      <c r="A18" s="249"/>
      <c r="B18" s="364"/>
      <c r="C18" s="450" t="s">
        <v>442</v>
      </c>
      <c r="D18" s="451" t="s">
        <v>755</v>
      </c>
      <c r="E18" s="48" t="s">
        <v>4</v>
      </c>
      <c r="F18" s="48" t="s">
        <v>407</v>
      </c>
      <c r="G18" s="48" t="s">
        <v>653</v>
      </c>
      <c r="H18" s="94" t="s">
        <v>104</v>
      </c>
      <c r="I18" s="547"/>
      <c r="J18" s="548" t="s">
        <v>654</v>
      </c>
      <c r="K18" s="206"/>
      <c r="L18" s="207"/>
      <c r="M18" s="208"/>
      <c r="O18" s="204" t="s">
        <v>442</v>
      </c>
      <c r="P18" s="47" t="s">
        <v>4</v>
      </c>
      <c r="Q18" s="48" t="s">
        <v>407</v>
      </c>
      <c r="R18" s="48" t="s">
        <v>314</v>
      </c>
      <c r="S18" s="48" t="s">
        <v>314</v>
      </c>
      <c r="T18" s="48" t="s">
        <v>314</v>
      </c>
      <c r="U18" s="48" t="s">
        <v>314</v>
      </c>
      <c r="V18" s="48" t="s">
        <v>314</v>
      </c>
      <c r="W18" s="48"/>
      <c r="X18" s="48" t="s">
        <v>307</v>
      </c>
      <c r="Y18" s="48"/>
      <c r="Z18" s="48"/>
      <c r="AA18" s="48"/>
      <c r="AB18" s="48"/>
      <c r="AC18" s="48" t="s">
        <v>314</v>
      </c>
      <c r="AD18" s="48"/>
      <c r="AE18" s="48"/>
      <c r="AF18" s="209"/>
      <c r="AG18" s="47" t="s">
        <v>315</v>
      </c>
      <c r="AH18" s="210" t="s">
        <v>319</v>
      </c>
      <c r="AI18" s="68" t="s">
        <v>440</v>
      </c>
      <c r="AJ18" s="251">
        <v>4.5</v>
      </c>
      <c r="AK18" s="251">
        <v>4.5</v>
      </c>
      <c r="AL18" s="251">
        <v>4.5</v>
      </c>
      <c r="AM18" s="251">
        <v>4.5</v>
      </c>
      <c r="AN18" s="251">
        <v>4.5</v>
      </c>
      <c r="AO18" s="251">
        <v>4.5</v>
      </c>
      <c r="AP18" s="251">
        <v>4.5</v>
      </c>
      <c r="AQ18" s="251">
        <v>4.5</v>
      </c>
      <c r="AR18" s="251">
        <v>4.5</v>
      </c>
      <c r="AS18" s="251">
        <v>4.5</v>
      </c>
      <c r="AT18" s="251">
        <f>+AS18-0.1</f>
        <v>4.4000000000000004</v>
      </c>
      <c r="AU18" s="251">
        <f t="shared" ref="AU18:BA18" si="32">+AT18-0.1</f>
        <v>4.3000000000000007</v>
      </c>
      <c r="AV18" s="251">
        <f t="shared" si="32"/>
        <v>4.2000000000000011</v>
      </c>
      <c r="AW18" s="251">
        <f t="shared" si="32"/>
        <v>4.1000000000000014</v>
      </c>
      <c r="AX18" s="251">
        <f t="shared" si="32"/>
        <v>4.0000000000000018</v>
      </c>
      <c r="AY18" s="251">
        <f t="shared" si="32"/>
        <v>3.9000000000000017</v>
      </c>
      <c r="AZ18" s="251">
        <f t="shared" si="32"/>
        <v>3.8000000000000016</v>
      </c>
      <c r="BA18" s="251">
        <f t="shared" si="32"/>
        <v>3.7000000000000015</v>
      </c>
      <c r="BB18" s="251"/>
      <c r="BC18" s="251"/>
      <c r="BD18" s="206"/>
      <c r="BE18" s="68" t="s">
        <v>349</v>
      </c>
      <c r="BF18" s="48" t="s">
        <v>323</v>
      </c>
      <c r="BG18" s="252">
        <f>33*13*(1200000*0.5+800000+600000*2*0.5)+20*33*5150+10000*33</f>
        <v>861729000</v>
      </c>
      <c r="BH18" s="212">
        <f>+BG18*1.05</f>
        <v>904815450</v>
      </c>
      <c r="BI18" s="170">
        <f>+BH18*1.05</f>
        <v>950056222.5</v>
      </c>
      <c r="BJ18" s="170">
        <f t="shared" ref="BJ18:BP18" si="33">+BI18*1.05</f>
        <v>997559033.625</v>
      </c>
      <c r="BK18" s="170">
        <f t="shared" si="33"/>
        <v>1047436985.3062501</v>
      </c>
      <c r="BL18" s="170">
        <f t="shared" si="33"/>
        <v>1099808834.5715625</v>
      </c>
      <c r="BM18" s="170">
        <f t="shared" si="33"/>
        <v>1154799276.3001406</v>
      </c>
      <c r="BN18" s="170">
        <f t="shared" si="33"/>
        <v>1212539240.1151476</v>
      </c>
      <c r="BO18" s="170">
        <f t="shared" si="33"/>
        <v>1273166202.1209049</v>
      </c>
      <c r="BP18" s="170">
        <f t="shared" si="33"/>
        <v>1336824512.2269502</v>
      </c>
      <c r="BQ18" s="213">
        <f t="shared" si="20"/>
        <v>9977005756.765955</v>
      </c>
      <c r="BR18" s="253">
        <v>1</v>
      </c>
      <c r="BS18" s="48"/>
      <c r="BT18" s="48"/>
      <c r="BU18" s="216"/>
      <c r="BV18" s="212">
        <f>33*13*(1200000*0.5+800000*1.5+600000*2)+36*33*5150+15000*33</f>
        <v>1293613200</v>
      </c>
      <c r="BW18" s="170">
        <f>+BV18*1.05</f>
        <v>1358293860</v>
      </c>
      <c r="BX18" s="170">
        <f t="shared" si="30"/>
        <v>1426208553</v>
      </c>
      <c r="BY18" s="170">
        <f t="shared" si="30"/>
        <v>1497518980.6500001</v>
      </c>
      <c r="BZ18" s="170">
        <f t="shared" si="30"/>
        <v>1572394929.6825001</v>
      </c>
      <c r="CA18" s="170">
        <f t="shared" si="30"/>
        <v>1651014676.1666253</v>
      </c>
      <c r="CB18" s="170">
        <f t="shared" si="30"/>
        <v>1733565409.9749565</v>
      </c>
      <c r="CC18" s="170">
        <f t="shared" si="30"/>
        <v>1820243680.4737043</v>
      </c>
      <c r="CD18" s="213">
        <f t="shared" si="30"/>
        <v>1911255864.4973896</v>
      </c>
      <c r="CE18" s="217">
        <f>+BV18-BH18</f>
        <v>388797750</v>
      </c>
      <c r="CF18" s="217">
        <f t="shared" ref="CF18:CM18" si="34">+BW18-BI18</f>
        <v>408237637.5</v>
      </c>
      <c r="CG18" s="217">
        <f t="shared" si="34"/>
        <v>428649519.375</v>
      </c>
      <c r="CH18" s="217">
        <f t="shared" si="34"/>
        <v>450081995.34375</v>
      </c>
      <c r="CI18" s="217">
        <f t="shared" si="34"/>
        <v>472586095.1109376</v>
      </c>
      <c r="CJ18" s="217">
        <f t="shared" si="34"/>
        <v>496215399.86648464</v>
      </c>
      <c r="CK18" s="217">
        <f t="shared" si="34"/>
        <v>521026169.85980892</v>
      </c>
      <c r="CL18" s="217">
        <f t="shared" si="34"/>
        <v>547077478.35279942</v>
      </c>
      <c r="CM18" s="217">
        <f t="shared" si="34"/>
        <v>574431352.27043939</v>
      </c>
      <c r="CN18" s="218">
        <f>SUM(CE18:CM18)</f>
        <v>4287103397.6792202</v>
      </c>
      <c r="CO18" s="219"/>
      <c r="CP18" s="220">
        <v>190000</v>
      </c>
      <c r="CQ18" s="220" t="s">
        <v>441</v>
      </c>
      <c r="CR18" s="210"/>
      <c r="CS18" s="210"/>
      <c r="CT18" s="210"/>
      <c r="CU18" s="210"/>
      <c r="CV18" s="221">
        <f>+CN18-CP18*550</f>
        <v>4182603397.6792202</v>
      </c>
      <c r="CW18" s="222"/>
      <c r="CX18" s="248"/>
    </row>
    <row r="19" spans="1:102" ht="26.1" hidden="1" customHeight="1" x14ac:dyDescent="0.25">
      <c r="A19" s="143" t="s">
        <v>420</v>
      </c>
      <c r="B19" s="360"/>
      <c r="C19" s="447" t="s">
        <v>420</v>
      </c>
      <c r="D19" s="154" t="s">
        <v>675</v>
      </c>
      <c r="E19" s="448" t="s">
        <v>4</v>
      </c>
      <c r="F19" s="145"/>
      <c r="G19" s="60"/>
      <c r="H19" s="453"/>
      <c r="I19" s="549"/>
      <c r="J19" s="550"/>
      <c r="K19" s="147" t="s">
        <v>253</v>
      </c>
      <c r="L19" s="148" t="s">
        <v>254</v>
      </c>
      <c r="M19" s="149"/>
      <c r="O19" s="143" t="s">
        <v>420</v>
      </c>
      <c r="P19" s="150"/>
      <c r="Q19" s="145"/>
      <c r="R19" s="145"/>
      <c r="S19" s="145"/>
      <c r="T19" s="145"/>
      <c r="U19" s="145"/>
      <c r="V19" s="145"/>
      <c r="W19" s="145"/>
      <c r="X19" s="145"/>
      <c r="Y19" s="145"/>
      <c r="Z19" s="145"/>
      <c r="AA19" s="145"/>
      <c r="AB19" s="145"/>
      <c r="AC19" s="145"/>
      <c r="AD19" s="145"/>
      <c r="AE19" s="145"/>
      <c r="AF19" s="151"/>
      <c r="AG19" s="150"/>
      <c r="AH19" s="145"/>
      <c r="AI19" s="145"/>
      <c r="AJ19" s="152"/>
      <c r="AK19" s="152"/>
      <c r="AL19" s="152"/>
      <c r="AM19" s="152"/>
      <c r="AN19" s="152"/>
      <c r="AO19" s="152"/>
      <c r="AP19" s="152"/>
      <c r="AQ19" s="152"/>
      <c r="AR19" s="152"/>
      <c r="AS19" s="152"/>
      <c r="AT19" s="152"/>
      <c r="AU19" s="152"/>
      <c r="AV19" s="152"/>
      <c r="AW19" s="152"/>
      <c r="AX19" s="152"/>
      <c r="AY19" s="152"/>
      <c r="AZ19" s="152"/>
      <c r="BA19" s="152"/>
      <c r="BB19" s="152"/>
      <c r="BC19" s="254"/>
      <c r="BD19" s="150"/>
      <c r="BE19" s="154" t="s">
        <v>357</v>
      </c>
      <c r="BF19" s="155"/>
      <c r="BG19" s="156">
        <f>SUM(BG20)</f>
        <v>0</v>
      </c>
      <c r="BH19" s="157">
        <f>SUM(BH20)</f>
        <v>0</v>
      </c>
      <c r="BI19" s="152">
        <f>SUM(BI20)</f>
        <v>0</v>
      </c>
      <c r="BJ19" s="152">
        <f t="shared" ref="BJ19:BP19" si="35">SUM(BJ20)</f>
        <v>0</v>
      </c>
      <c r="BK19" s="152">
        <f t="shared" si="35"/>
        <v>0</v>
      </c>
      <c r="BL19" s="152">
        <f t="shared" si="35"/>
        <v>0</v>
      </c>
      <c r="BM19" s="152">
        <f t="shared" si="35"/>
        <v>0</v>
      </c>
      <c r="BN19" s="152">
        <f t="shared" si="35"/>
        <v>0</v>
      </c>
      <c r="BO19" s="152">
        <f t="shared" si="35"/>
        <v>0</v>
      </c>
      <c r="BP19" s="152">
        <f t="shared" si="35"/>
        <v>0</v>
      </c>
      <c r="BQ19" s="156">
        <f t="shared" ref="BQ19:BQ26" si="36">SUM(BH19:BP19)</f>
        <v>0</v>
      </c>
      <c r="BR19" s="158"/>
      <c r="BS19" s="145"/>
      <c r="BT19" s="145"/>
      <c r="BU19" s="159"/>
      <c r="BV19" s="157">
        <f>SUM(BV20)</f>
        <v>13200000</v>
      </c>
      <c r="BW19" s="152">
        <f>SUM(BW20)</f>
        <v>13200000</v>
      </c>
      <c r="BX19" s="152">
        <f t="shared" ref="BX19:CC19" si="37">SUM(BX20)</f>
        <v>13200000</v>
      </c>
      <c r="BY19" s="152">
        <f t="shared" si="37"/>
        <v>13200000</v>
      </c>
      <c r="BZ19" s="152">
        <f t="shared" si="37"/>
        <v>0</v>
      </c>
      <c r="CA19" s="152">
        <f t="shared" si="37"/>
        <v>0</v>
      </c>
      <c r="CB19" s="152">
        <f t="shared" si="37"/>
        <v>0</v>
      </c>
      <c r="CC19" s="152">
        <f t="shared" si="37"/>
        <v>0</v>
      </c>
      <c r="CD19" s="156">
        <f>SUM(CD20)</f>
        <v>0</v>
      </c>
      <c r="CE19" s="157">
        <f>SUM(CE20)</f>
        <v>13200000</v>
      </c>
      <c r="CF19" s="152">
        <f>SUM(CF20)</f>
        <v>13200000</v>
      </c>
      <c r="CG19" s="152">
        <f t="shared" ref="CG19:CM19" si="38">SUM(CG20)</f>
        <v>13200000</v>
      </c>
      <c r="CH19" s="152">
        <f t="shared" si="38"/>
        <v>13200000</v>
      </c>
      <c r="CI19" s="152">
        <f t="shared" si="38"/>
        <v>0</v>
      </c>
      <c r="CJ19" s="152">
        <f t="shared" si="38"/>
        <v>0</v>
      </c>
      <c r="CK19" s="152">
        <f t="shared" si="38"/>
        <v>0</v>
      </c>
      <c r="CL19" s="152">
        <f t="shared" si="38"/>
        <v>0</v>
      </c>
      <c r="CM19" s="152">
        <f t="shared" si="38"/>
        <v>0</v>
      </c>
      <c r="CN19" s="156">
        <f t="shared" si="17"/>
        <v>52800000</v>
      </c>
      <c r="CO19" s="158"/>
      <c r="CP19" s="160">
        <f>SUM(CP20)</f>
        <v>0</v>
      </c>
      <c r="CQ19" s="145"/>
      <c r="CR19" s="145"/>
      <c r="CS19" s="145"/>
      <c r="CT19" s="145"/>
      <c r="CU19" s="145"/>
      <c r="CV19" s="161">
        <f>SUM(CV20)</f>
        <v>52800000</v>
      </c>
      <c r="CW19" s="151"/>
      <c r="CX19" s="162"/>
    </row>
    <row r="20" spans="1:102" ht="26.1" customHeight="1" x14ac:dyDescent="0.25">
      <c r="A20" s="204" t="s">
        <v>17</v>
      </c>
      <c r="B20" s="362"/>
      <c r="C20" s="450" t="s">
        <v>17</v>
      </c>
      <c r="D20" s="451" t="s">
        <v>676</v>
      </c>
      <c r="E20" s="48" t="s">
        <v>4</v>
      </c>
      <c r="F20" s="50" t="s">
        <v>403</v>
      </c>
      <c r="G20" s="424" t="s">
        <v>393</v>
      </c>
      <c r="H20" s="94" t="s">
        <v>102</v>
      </c>
      <c r="I20" s="547"/>
      <c r="J20" s="548" t="s">
        <v>233</v>
      </c>
      <c r="K20" s="206"/>
      <c r="L20" s="207"/>
      <c r="M20" s="208"/>
      <c r="O20" s="204" t="s">
        <v>17</v>
      </c>
      <c r="P20" s="47" t="s">
        <v>2</v>
      </c>
      <c r="Q20" s="48" t="s">
        <v>403</v>
      </c>
      <c r="R20" s="48"/>
      <c r="S20" s="48" t="s">
        <v>314</v>
      </c>
      <c r="T20" s="48" t="s">
        <v>314</v>
      </c>
      <c r="U20" s="48"/>
      <c r="V20" s="48" t="s">
        <v>314</v>
      </c>
      <c r="W20" s="48"/>
      <c r="X20" s="48" t="s">
        <v>307</v>
      </c>
      <c r="Y20" s="48"/>
      <c r="Z20" s="48"/>
      <c r="AA20" s="48"/>
      <c r="AB20" s="48"/>
      <c r="AC20" s="48" t="s">
        <v>314</v>
      </c>
      <c r="AD20" s="48"/>
      <c r="AE20" s="48"/>
      <c r="AF20" s="209"/>
      <c r="AG20" s="47" t="s">
        <v>315</v>
      </c>
      <c r="AH20" s="210" t="s">
        <v>319</v>
      </c>
      <c r="AI20" s="256" t="s">
        <v>443</v>
      </c>
      <c r="AJ20" s="170">
        <v>0</v>
      </c>
      <c r="AK20" s="170">
        <v>0</v>
      </c>
      <c r="AL20" s="170">
        <v>0</v>
      </c>
      <c r="AM20" s="170">
        <v>0</v>
      </c>
      <c r="AN20" s="170">
        <v>0</v>
      </c>
      <c r="AO20" s="170">
        <v>0</v>
      </c>
      <c r="AP20" s="170">
        <v>0</v>
      </c>
      <c r="AQ20" s="170">
        <v>0</v>
      </c>
      <c r="AR20" s="170">
        <v>0</v>
      </c>
      <c r="AS20" s="170">
        <v>1</v>
      </c>
      <c r="AT20" s="170">
        <v>1</v>
      </c>
      <c r="AU20" s="170">
        <v>1</v>
      </c>
      <c r="AV20" s="170">
        <v>1</v>
      </c>
      <c r="AW20" s="170">
        <v>0</v>
      </c>
      <c r="AX20" s="170">
        <v>0</v>
      </c>
      <c r="AY20" s="170">
        <v>0</v>
      </c>
      <c r="AZ20" s="170">
        <v>0</v>
      </c>
      <c r="BA20" s="170">
        <v>0</v>
      </c>
      <c r="BB20" s="170"/>
      <c r="BC20" s="170"/>
      <c r="BD20" s="206" t="s">
        <v>4</v>
      </c>
      <c r="BE20" s="257" t="s">
        <v>349</v>
      </c>
      <c r="BF20" s="48" t="s">
        <v>313</v>
      </c>
      <c r="BG20" s="211"/>
      <c r="BH20" s="212">
        <v>0</v>
      </c>
      <c r="BI20" s="170">
        <v>0</v>
      </c>
      <c r="BJ20" s="170">
        <v>0</v>
      </c>
      <c r="BK20" s="170">
        <v>0</v>
      </c>
      <c r="BL20" s="170">
        <v>0</v>
      </c>
      <c r="BM20" s="170">
        <v>0</v>
      </c>
      <c r="BN20" s="170">
        <v>0</v>
      </c>
      <c r="BO20" s="170">
        <v>0</v>
      </c>
      <c r="BP20" s="170">
        <v>0</v>
      </c>
      <c r="BQ20" s="213">
        <f t="shared" si="36"/>
        <v>0</v>
      </c>
      <c r="BR20" s="214"/>
      <c r="BS20" s="48"/>
      <c r="BT20" s="48"/>
      <c r="BU20" s="216"/>
      <c r="BV20" s="212">
        <f>+AS20*24000*550</f>
        <v>13200000</v>
      </c>
      <c r="BW20" s="170">
        <f>+AT20*24000*550</f>
        <v>13200000</v>
      </c>
      <c r="BX20" s="170">
        <f>+AU20*24000*550</f>
        <v>13200000</v>
      </c>
      <c r="BY20" s="170">
        <f>+AV20*24000*550</f>
        <v>13200000</v>
      </c>
      <c r="BZ20" s="170">
        <v>0</v>
      </c>
      <c r="CA20" s="170">
        <v>0</v>
      </c>
      <c r="CB20" s="170">
        <v>0</v>
      </c>
      <c r="CC20" s="170">
        <v>0</v>
      </c>
      <c r="CD20" s="213">
        <v>0</v>
      </c>
      <c r="CE20" s="217">
        <f>+BV20-BH20</f>
        <v>13200000</v>
      </c>
      <c r="CF20" s="170">
        <f>+BW20-BI20</f>
        <v>13200000</v>
      </c>
      <c r="CG20" s="170">
        <f t="shared" ref="CG20:CM20" si="39">+BX20-BJ20</f>
        <v>13200000</v>
      </c>
      <c r="CH20" s="170">
        <f t="shared" si="39"/>
        <v>13200000</v>
      </c>
      <c r="CI20" s="170">
        <f t="shared" si="39"/>
        <v>0</v>
      </c>
      <c r="CJ20" s="170">
        <f t="shared" si="39"/>
        <v>0</v>
      </c>
      <c r="CK20" s="170">
        <f t="shared" si="39"/>
        <v>0</v>
      </c>
      <c r="CL20" s="170">
        <f t="shared" si="39"/>
        <v>0</v>
      </c>
      <c r="CM20" s="170">
        <f t="shared" si="39"/>
        <v>0</v>
      </c>
      <c r="CN20" s="218">
        <f>SUM(CE20:CM20)</f>
        <v>52800000</v>
      </c>
      <c r="CO20" s="219"/>
      <c r="CP20" s="220"/>
      <c r="CQ20" s="220"/>
      <c r="CR20" s="210"/>
      <c r="CS20" s="210"/>
      <c r="CT20" s="210"/>
      <c r="CU20" s="210"/>
      <c r="CV20" s="221">
        <f>+CN20-CP20*550</f>
        <v>52800000</v>
      </c>
      <c r="CW20" s="222"/>
      <c r="CX20" s="258"/>
    </row>
    <row r="21" spans="1:102" ht="26.1" hidden="1" customHeight="1" x14ac:dyDescent="0.25">
      <c r="A21" s="143" t="s">
        <v>18</v>
      </c>
      <c r="B21" s="360"/>
      <c r="C21" s="447" t="s">
        <v>18</v>
      </c>
      <c r="D21" s="154" t="s">
        <v>677</v>
      </c>
      <c r="E21" s="448" t="s">
        <v>6</v>
      </c>
      <c r="F21" s="145"/>
      <c r="G21" s="60"/>
      <c r="H21" s="453"/>
      <c r="I21" s="549"/>
      <c r="J21" s="550"/>
      <c r="K21" s="147" t="s">
        <v>253</v>
      </c>
      <c r="L21" s="148"/>
      <c r="M21" s="149"/>
      <c r="O21" s="143" t="s">
        <v>18</v>
      </c>
      <c r="P21" s="150"/>
      <c r="Q21" s="145"/>
      <c r="R21" s="145"/>
      <c r="S21" s="145"/>
      <c r="T21" s="145"/>
      <c r="U21" s="145"/>
      <c r="V21" s="145"/>
      <c r="W21" s="145"/>
      <c r="X21" s="145"/>
      <c r="Y21" s="145"/>
      <c r="Z21" s="145"/>
      <c r="AA21" s="145"/>
      <c r="AB21" s="145"/>
      <c r="AC21" s="145"/>
      <c r="AD21" s="145"/>
      <c r="AE21" s="145"/>
      <c r="AF21" s="151"/>
      <c r="AG21" s="150"/>
      <c r="AH21" s="145"/>
      <c r="AI21" s="145"/>
      <c r="AJ21" s="152"/>
      <c r="AK21" s="152"/>
      <c r="AL21" s="152"/>
      <c r="AM21" s="152"/>
      <c r="AN21" s="152"/>
      <c r="AO21" s="152"/>
      <c r="AP21" s="152"/>
      <c r="AQ21" s="152"/>
      <c r="AR21" s="152"/>
      <c r="AS21" s="152"/>
      <c r="AT21" s="152"/>
      <c r="AU21" s="152"/>
      <c r="AV21" s="152"/>
      <c r="AW21" s="152"/>
      <c r="AX21" s="152"/>
      <c r="AY21" s="152"/>
      <c r="AZ21" s="152"/>
      <c r="BA21" s="152"/>
      <c r="BB21" s="152"/>
      <c r="BC21" s="254"/>
      <c r="BD21" s="150"/>
      <c r="BE21" s="154" t="s">
        <v>357</v>
      </c>
      <c r="BF21" s="155"/>
      <c r="BG21" s="156">
        <f>SUM(BG22)</f>
        <v>0</v>
      </c>
      <c r="BH21" s="157">
        <f>SUM(BH22)</f>
        <v>0</v>
      </c>
      <c r="BI21" s="152">
        <f>SUM(BI22)</f>
        <v>0</v>
      </c>
      <c r="BJ21" s="152">
        <f t="shared" ref="BJ21:BP21" si="40">SUM(BJ22)</f>
        <v>0</v>
      </c>
      <c r="BK21" s="152">
        <f t="shared" si="40"/>
        <v>0</v>
      </c>
      <c r="BL21" s="152">
        <f t="shared" si="40"/>
        <v>0</v>
      </c>
      <c r="BM21" s="152">
        <f t="shared" si="40"/>
        <v>0</v>
      </c>
      <c r="BN21" s="152">
        <f t="shared" si="40"/>
        <v>0</v>
      </c>
      <c r="BO21" s="152">
        <f t="shared" si="40"/>
        <v>0</v>
      </c>
      <c r="BP21" s="152">
        <f t="shared" si="40"/>
        <v>0</v>
      </c>
      <c r="BQ21" s="156">
        <f t="shared" si="36"/>
        <v>0</v>
      </c>
      <c r="BR21" s="158"/>
      <c r="BS21" s="145"/>
      <c r="BT21" s="145"/>
      <c r="BU21" s="159"/>
      <c r="BV21" s="157">
        <f>SUM(BV22)</f>
        <v>110000000</v>
      </c>
      <c r="BW21" s="152">
        <f>SUM(BW22)</f>
        <v>0</v>
      </c>
      <c r="BX21" s="152">
        <f t="shared" ref="BX21:CC21" si="41">SUM(BX22)</f>
        <v>0</v>
      </c>
      <c r="BY21" s="152">
        <f t="shared" si="41"/>
        <v>0</v>
      </c>
      <c r="BZ21" s="152">
        <f t="shared" si="41"/>
        <v>0</v>
      </c>
      <c r="CA21" s="152">
        <f t="shared" si="41"/>
        <v>0</v>
      </c>
      <c r="CB21" s="152">
        <f t="shared" si="41"/>
        <v>0</v>
      </c>
      <c r="CC21" s="152">
        <f t="shared" si="41"/>
        <v>0</v>
      </c>
      <c r="CD21" s="156">
        <f>SUM(CD22)</f>
        <v>0</v>
      </c>
      <c r="CE21" s="157">
        <f>SUM(CE22)</f>
        <v>110000000</v>
      </c>
      <c r="CF21" s="152">
        <f>SUM(CF22)</f>
        <v>0</v>
      </c>
      <c r="CG21" s="152">
        <f t="shared" ref="CG21:CM21" si="42">SUM(CG22)</f>
        <v>0</v>
      </c>
      <c r="CH21" s="152">
        <f t="shared" si="42"/>
        <v>0</v>
      </c>
      <c r="CI21" s="152">
        <f t="shared" si="42"/>
        <v>0</v>
      </c>
      <c r="CJ21" s="152">
        <f t="shared" si="42"/>
        <v>0</v>
      </c>
      <c r="CK21" s="152">
        <f t="shared" si="42"/>
        <v>0</v>
      </c>
      <c r="CL21" s="152">
        <f t="shared" si="42"/>
        <v>0</v>
      </c>
      <c r="CM21" s="152">
        <f t="shared" si="42"/>
        <v>0</v>
      </c>
      <c r="CN21" s="156">
        <f t="shared" si="17"/>
        <v>110000000</v>
      </c>
      <c r="CO21" s="158"/>
      <c r="CP21" s="160">
        <f>SUM(CP22)</f>
        <v>200000</v>
      </c>
      <c r="CQ21" s="145"/>
      <c r="CR21" s="145"/>
      <c r="CS21" s="145"/>
      <c r="CT21" s="145"/>
      <c r="CU21" s="145"/>
      <c r="CV21" s="161">
        <f>SUM(CV22)</f>
        <v>0</v>
      </c>
      <c r="CW21" s="151"/>
      <c r="CX21" s="162"/>
    </row>
    <row r="22" spans="1:102" ht="26.1" customHeight="1" x14ac:dyDescent="0.25">
      <c r="A22" s="204" t="s">
        <v>19</v>
      </c>
      <c r="B22" s="362"/>
      <c r="C22" s="450" t="s">
        <v>19</v>
      </c>
      <c r="D22" s="451" t="s">
        <v>678</v>
      </c>
      <c r="E22" s="48" t="s">
        <v>492</v>
      </c>
      <c r="F22" s="48" t="s">
        <v>403</v>
      </c>
      <c r="G22" s="48" t="s">
        <v>393</v>
      </c>
      <c r="H22" s="455" t="s">
        <v>105</v>
      </c>
      <c r="I22" s="547" t="s">
        <v>245</v>
      </c>
      <c r="J22" s="548" t="s">
        <v>231</v>
      </c>
      <c r="K22" s="206"/>
      <c r="L22" s="207"/>
      <c r="M22" s="208"/>
      <c r="O22" s="204" t="s">
        <v>19</v>
      </c>
      <c r="P22" s="47" t="s">
        <v>413</v>
      </c>
      <c r="Q22" s="48" t="s">
        <v>403</v>
      </c>
      <c r="R22" s="50" t="s">
        <v>314</v>
      </c>
      <c r="S22" s="50" t="s">
        <v>314</v>
      </c>
      <c r="T22" s="50" t="s">
        <v>314</v>
      </c>
      <c r="U22" s="50"/>
      <c r="V22" s="50"/>
      <c r="W22" s="50"/>
      <c r="X22" s="50" t="s">
        <v>307</v>
      </c>
      <c r="Y22" s="50" t="s">
        <v>314</v>
      </c>
      <c r="Z22" s="50" t="s">
        <v>314</v>
      </c>
      <c r="AA22" s="50"/>
      <c r="AB22" s="50"/>
      <c r="AC22" s="50" t="s">
        <v>314</v>
      </c>
      <c r="AD22" s="50" t="s">
        <v>314</v>
      </c>
      <c r="AE22" s="50"/>
      <c r="AF22" s="259"/>
      <c r="AG22" s="47" t="s">
        <v>315</v>
      </c>
      <c r="AH22" s="210" t="s">
        <v>339</v>
      </c>
      <c r="AI22" s="68" t="s">
        <v>340</v>
      </c>
      <c r="AJ22" s="170">
        <v>0</v>
      </c>
      <c r="AK22" s="170">
        <v>0</v>
      </c>
      <c r="AL22" s="170">
        <v>0</v>
      </c>
      <c r="AM22" s="170">
        <v>0</v>
      </c>
      <c r="AN22" s="170">
        <v>0</v>
      </c>
      <c r="AO22" s="170">
        <v>0</v>
      </c>
      <c r="AP22" s="170">
        <v>0</v>
      </c>
      <c r="AQ22" s="170">
        <v>0</v>
      </c>
      <c r="AR22" s="170">
        <v>0</v>
      </c>
      <c r="AS22" s="170"/>
      <c r="AT22" s="170">
        <v>2</v>
      </c>
      <c r="AU22" s="170">
        <v>0</v>
      </c>
      <c r="AV22" s="170">
        <v>0</v>
      </c>
      <c r="AW22" s="170">
        <v>0</v>
      </c>
      <c r="AX22" s="170">
        <v>0</v>
      </c>
      <c r="AY22" s="170">
        <v>0</v>
      </c>
      <c r="AZ22" s="170">
        <v>0</v>
      </c>
      <c r="BA22" s="170">
        <v>0</v>
      </c>
      <c r="BB22" s="170"/>
      <c r="BC22" s="260"/>
      <c r="BD22" s="206" t="s">
        <v>311</v>
      </c>
      <c r="BE22" s="68" t="s">
        <v>349</v>
      </c>
      <c r="BF22" s="48" t="s">
        <v>313</v>
      </c>
      <c r="BG22" s="241"/>
      <c r="BH22" s="212">
        <v>0</v>
      </c>
      <c r="BI22" s="170">
        <v>0</v>
      </c>
      <c r="BJ22" s="170">
        <v>0</v>
      </c>
      <c r="BK22" s="170">
        <v>0</v>
      </c>
      <c r="BL22" s="170">
        <v>0</v>
      </c>
      <c r="BM22" s="170">
        <v>0</v>
      </c>
      <c r="BN22" s="170">
        <v>0</v>
      </c>
      <c r="BO22" s="170">
        <v>0</v>
      </c>
      <c r="BP22" s="170">
        <v>0</v>
      </c>
      <c r="BQ22" s="213">
        <f t="shared" si="36"/>
        <v>0</v>
      </c>
      <c r="BR22" s="245"/>
      <c r="BS22" s="48"/>
      <c r="BT22" s="48"/>
      <c r="BU22" s="243"/>
      <c r="BV22" s="212">
        <f>200000*550</f>
        <v>110000000</v>
      </c>
      <c r="BW22" s="170"/>
      <c r="BX22" s="170"/>
      <c r="BY22" s="170"/>
      <c r="BZ22" s="170"/>
      <c r="CA22" s="170"/>
      <c r="CB22" s="170"/>
      <c r="CC22" s="170"/>
      <c r="CD22" s="213"/>
      <c r="CE22" s="217">
        <f>+BV22-BH22</f>
        <v>110000000</v>
      </c>
      <c r="CF22" s="170">
        <f>+BW22-BI22</f>
        <v>0</v>
      </c>
      <c r="CG22" s="170">
        <f t="shared" ref="CG22:CM22" si="43">+BX22-BJ22</f>
        <v>0</v>
      </c>
      <c r="CH22" s="170">
        <f t="shared" si="43"/>
        <v>0</v>
      </c>
      <c r="CI22" s="170">
        <f t="shared" si="43"/>
        <v>0</v>
      </c>
      <c r="CJ22" s="170">
        <f t="shared" si="43"/>
        <v>0</v>
      </c>
      <c r="CK22" s="170">
        <f t="shared" si="43"/>
        <v>0</v>
      </c>
      <c r="CL22" s="170">
        <f t="shared" si="43"/>
        <v>0</v>
      </c>
      <c r="CM22" s="170">
        <f t="shared" si="43"/>
        <v>0</v>
      </c>
      <c r="CN22" s="218">
        <f>SUM(CE22:CM22)</f>
        <v>110000000</v>
      </c>
      <c r="CO22" s="219"/>
      <c r="CP22" s="220">
        <v>200000</v>
      </c>
      <c r="CQ22" s="220" t="s">
        <v>421</v>
      </c>
      <c r="CR22" s="210"/>
      <c r="CS22" s="210"/>
      <c r="CT22" s="210"/>
      <c r="CU22" s="210"/>
      <c r="CV22" s="221">
        <f>+CE22-CP22*550</f>
        <v>0</v>
      </c>
      <c r="CW22" s="222"/>
      <c r="CX22" s="246"/>
    </row>
    <row r="23" spans="1:102" ht="26.1" hidden="1" customHeight="1" x14ac:dyDescent="0.25">
      <c r="A23" s="143" t="s">
        <v>20</v>
      </c>
      <c r="B23" s="360"/>
      <c r="C23" s="447" t="s">
        <v>20</v>
      </c>
      <c r="D23" s="154" t="s">
        <v>679</v>
      </c>
      <c r="E23" s="448" t="s">
        <v>5</v>
      </c>
      <c r="F23" s="145"/>
      <c r="G23" s="60"/>
      <c r="H23" s="453"/>
      <c r="I23" s="549"/>
      <c r="J23" s="550"/>
      <c r="K23" s="147" t="s">
        <v>253</v>
      </c>
      <c r="L23" s="148" t="s">
        <v>254</v>
      </c>
      <c r="M23" s="149"/>
      <c r="O23" s="143" t="s">
        <v>20</v>
      </c>
      <c r="P23" s="150"/>
      <c r="Q23" s="145"/>
      <c r="R23" s="145"/>
      <c r="S23" s="145"/>
      <c r="T23" s="145"/>
      <c r="U23" s="145"/>
      <c r="V23" s="145"/>
      <c r="W23" s="145"/>
      <c r="X23" s="145"/>
      <c r="Y23" s="145"/>
      <c r="Z23" s="145"/>
      <c r="AA23" s="145"/>
      <c r="AB23" s="145"/>
      <c r="AC23" s="145"/>
      <c r="AD23" s="145"/>
      <c r="AE23" s="145"/>
      <c r="AF23" s="151"/>
      <c r="AG23" s="150"/>
      <c r="AH23" s="145"/>
      <c r="AI23" s="145"/>
      <c r="AJ23" s="152"/>
      <c r="AK23" s="152"/>
      <c r="AL23" s="152"/>
      <c r="AM23" s="152"/>
      <c r="AN23" s="152"/>
      <c r="AO23" s="152"/>
      <c r="AP23" s="152"/>
      <c r="AQ23" s="152"/>
      <c r="AR23" s="152"/>
      <c r="AS23" s="152"/>
      <c r="AT23" s="152"/>
      <c r="AU23" s="152"/>
      <c r="AV23" s="152"/>
      <c r="AW23" s="152"/>
      <c r="AX23" s="152"/>
      <c r="AY23" s="152"/>
      <c r="AZ23" s="152"/>
      <c r="BA23" s="152"/>
      <c r="BB23" s="152"/>
      <c r="BC23" s="254"/>
      <c r="BD23" s="150"/>
      <c r="BE23" s="154" t="s">
        <v>355</v>
      </c>
      <c r="BF23" s="155"/>
      <c r="BG23" s="156">
        <f>SUM(BG24)</f>
        <v>0</v>
      </c>
      <c r="BH23" s="157">
        <f>SUM(BH24)</f>
        <v>252000</v>
      </c>
      <c r="BI23" s="152">
        <f>SUM(BI24)</f>
        <v>1260000</v>
      </c>
      <c r="BJ23" s="152">
        <f t="shared" ref="BJ23:BP23" si="44">SUM(BJ24)</f>
        <v>1260000</v>
      </c>
      <c r="BK23" s="152">
        <f t="shared" si="44"/>
        <v>1260000</v>
      </c>
      <c r="BL23" s="152">
        <f t="shared" si="44"/>
        <v>1260000</v>
      </c>
      <c r="BM23" s="152">
        <f t="shared" si="44"/>
        <v>1260000</v>
      </c>
      <c r="BN23" s="152">
        <f t="shared" si="44"/>
        <v>1260000</v>
      </c>
      <c r="BO23" s="152">
        <f t="shared" si="44"/>
        <v>1260000</v>
      </c>
      <c r="BP23" s="152">
        <f t="shared" si="44"/>
        <v>1260000</v>
      </c>
      <c r="BQ23" s="156">
        <f t="shared" si="36"/>
        <v>10332000</v>
      </c>
      <c r="BR23" s="158"/>
      <c r="BS23" s="145"/>
      <c r="BT23" s="145"/>
      <c r="BU23" s="159"/>
      <c r="BV23" s="157">
        <f>SUM(BV24)</f>
        <v>3402000</v>
      </c>
      <c r="BW23" s="152">
        <f>SUM(BW24)</f>
        <v>6300000</v>
      </c>
      <c r="BX23" s="152">
        <f t="shared" ref="BX23:CC23" si="45">SUM(BX24)</f>
        <v>6300000</v>
      </c>
      <c r="BY23" s="152">
        <f t="shared" si="45"/>
        <v>6300000</v>
      </c>
      <c r="BZ23" s="152">
        <f t="shared" si="45"/>
        <v>6300000</v>
      </c>
      <c r="CA23" s="152">
        <f t="shared" si="45"/>
        <v>6300000</v>
      </c>
      <c r="CB23" s="152">
        <f t="shared" si="45"/>
        <v>6300000</v>
      </c>
      <c r="CC23" s="152">
        <f t="shared" si="45"/>
        <v>6300000</v>
      </c>
      <c r="CD23" s="156">
        <f>SUM(CD24)</f>
        <v>6300000</v>
      </c>
      <c r="CE23" s="157">
        <f>SUM(CE24)</f>
        <v>3150000</v>
      </c>
      <c r="CF23" s="152">
        <f>SUM(CF24)</f>
        <v>5040000</v>
      </c>
      <c r="CG23" s="152">
        <f t="shared" ref="CG23:CM23" si="46">SUM(CG24)</f>
        <v>5040000</v>
      </c>
      <c r="CH23" s="152">
        <f t="shared" si="46"/>
        <v>5040000</v>
      </c>
      <c r="CI23" s="152">
        <f t="shared" si="46"/>
        <v>5040000</v>
      </c>
      <c r="CJ23" s="152">
        <f t="shared" si="46"/>
        <v>5040000</v>
      </c>
      <c r="CK23" s="152">
        <f t="shared" si="46"/>
        <v>5040000</v>
      </c>
      <c r="CL23" s="152">
        <f t="shared" si="46"/>
        <v>5040000</v>
      </c>
      <c r="CM23" s="152">
        <f t="shared" si="46"/>
        <v>5040000</v>
      </c>
      <c r="CN23" s="156">
        <f>SUM(CE23:CM23)</f>
        <v>43470000</v>
      </c>
      <c r="CO23" s="158"/>
      <c r="CP23" s="160">
        <f>SUM(CP24)</f>
        <v>0</v>
      </c>
      <c r="CQ23" s="145"/>
      <c r="CR23" s="145"/>
      <c r="CS23" s="145"/>
      <c r="CT23" s="145"/>
      <c r="CU23" s="145"/>
      <c r="CV23" s="161">
        <f>SUM(CV24)</f>
        <v>43470000</v>
      </c>
      <c r="CW23" s="151"/>
      <c r="CX23" s="162"/>
    </row>
    <row r="24" spans="1:102" ht="26.1" customHeight="1" thickBot="1" x14ac:dyDescent="0.3">
      <c r="A24" s="204" t="s">
        <v>21</v>
      </c>
      <c r="B24" s="362"/>
      <c r="C24" s="470" t="s">
        <v>380</v>
      </c>
      <c r="D24" s="451" t="s">
        <v>680</v>
      </c>
      <c r="E24" s="48" t="s">
        <v>5</v>
      </c>
      <c r="F24" s="48" t="s">
        <v>402</v>
      </c>
      <c r="G24" s="48" t="s">
        <v>373</v>
      </c>
      <c r="H24" s="94" t="s">
        <v>106</v>
      </c>
      <c r="I24" s="547" t="s">
        <v>217</v>
      </c>
      <c r="J24" s="548" t="s">
        <v>242</v>
      </c>
      <c r="K24" s="206"/>
      <c r="L24" s="207"/>
      <c r="M24" s="208"/>
      <c r="N24" s="485"/>
      <c r="O24" s="261" t="s">
        <v>380</v>
      </c>
      <c r="P24" s="47" t="s">
        <v>5</v>
      </c>
      <c r="Q24" s="48" t="s">
        <v>402</v>
      </c>
      <c r="R24" s="48" t="s">
        <v>314</v>
      </c>
      <c r="S24" s="48" t="s">
        <v>314</v>
      </c>
      <c r="T24" s="48" t="s">
        <v>314</v>
      </c>
      <c r="U24" s="48"/>
      <c r="V24" s="48" t="s">
        <v>314</v>
      </c>
      <c r="W24" s="48"/>
      <c r="X24" s="48" t="s">
        <v>314</v>
      </c>
      <c r="Y24" s="48"/>
      <c r="Z24" s="48"/>
      <c r="AA24" s="48"/>
      <c r="AB24" s="48"/>
      <c r="AC24" s="48" t="s">
        <v>307</v>
      </c>
      <c r="AD24" s="48"/>
      <c r="AE24" s="48"/>
      <c r="AF24" s="209"/>
      <c r="AG24" s="47" t="s">
        <v>315</v>
      </c>
      <c r="AH24" s="210" t="s">
        <v>319</v>
      </c>
      <c r="AI24" s="68" t="s">
        <v>381</v>
      </c>
      <c r="AJ24" s="170">
        <v>100</v>
      </c>
      <c r="AK24" s="170">
        <f>+AJ24+10</f>
        <v>110</v>
      </c>
      <c r="AL24" s="170">
        <f>+AK24+10</f>
        <v>120</v>
      </c>
      <c r="AM24" s="170">
        <f t="shared" ref="AM24:AR24" si="47">+AL24+10</f>
        <v>130</v>
      </c>
      <c r="AN24" s="170">
        <f t="shared" si="47"/>
        <v>140</v>
      </c>
      <c r="AO24" s="170">
        <f t="shared" si="47"/>
        <v>150</v>
      </c>
      <c r="AP24" s="170">
        <f t="shared" si="47"/>
        <v>160</v>
      </c>
      <c r="AQ24" s="170">
        <f t="shared" si="47"/>
        <v>170</v>
      </c>
      <c r="AR24" s="170">
        <f t="shared" si="47"/>
        <v>180</v>
      </c>
      <c r="AS24" s="170">
        <v>125</v>
      </c>
      <c r="AT24" s="170">
        <f>+AS24+50</f>
        <v>175</v>
      </c>
      <c r="AU24" s="170">
        <f t="shared" ref="AU24:BA24" si="48">+AT24+50</f>
        <v>225</v>
      </c>
      <c r="AV24" s="170">
        <f t="shared" si="48"/>
        <v>275</v>
      </c>
      <c r="AW24" s="170">
        <f t="shared" si="48"/>
        <v>325</v>
      </c>
      <c r="AX24" s="170">
        <f t="shared" si="48"/>
        <v>375</v>
      </c>
      <c r="AY24" s="170">
        <f t="shared" si="48"/>
        <v>425</v>
      </c>
      <c r="AZ24" s="170">
        <f t="shared" si="48"/>
        <v>475</v>
      </c>
      <c r="BA24" s="170">
        <f t="shared" si="48"/>
        <v>525</v>
      </c>
      <c r="BB24" s="170"/>
      <c r="BC24" s="260"/>
      <c r="BD24" s="206" t="s">
        <v>5</v>
      </c>
      <c r="BE24" s="68" t="s">
        <v>312</v>
      </c>
      <c r="BF24" s="48" t="s">
        <v>313</v>
      </c>
      <c r="BG24" s="241"/>
      <c r="BH24" s="212">
        <f>126000*2</f>
        <v>252000</v>
      </c>
      <c r="BI24" s="170">
        <f>10*126000</f>
        <v>1260000</v>
      </c>
      <c r="BJ24" s="170">
        <f t="shared" ref="BJ24:BP24" si="49">10*126000</f>
        <v>1260000</v>
      </c>
      <c r="BK24" s="170">
        <f t="shared" si="49"/>
        <v>1260000</v>
      </c>
      <c r="BL24" s="170">
        <f t="shared" si="49"/>
        <v>1260000</v>
      </c>
      <c r="BM24" s="170">
        <f t="shared" si="49"/>
        <v>1260000</v>
      </c>
      <c r="BN24" s="170">
        <f t="shared" si="49"/>
        <v>1260000</v>
      </c>
      <c r="BO24" s="170">
        <f t="shared" si="49"/>
        <v>1260000</v>
      </c>
      <c r="BP24" s="170">
        <f t="shared" si="49"/>
        <v>1260000</v>
      </c>
      <c r="BQ24" s="213">
        <f t="shared" si="36"/>
        <v>10332000</v>
      </c>
      <c r="BR24" s="262">
        <v>1</v>
      </c>
      <c r="BS24" s="170"/>
      <c r="BT24" s="170"/>
      <c r="BU24" s="213"/>
      <c r="BV24" s="212">
        <f>27*126000</f>
        <v>3402000</v>
      </c>
      <c r="BW24" s="170">
        <f>50*126000</f>
        <v>6300000</v>
      </c>
      <c r="BX24" s="170">
        <f t="shared" ref="BX24:CD24" si="50">50*126000</f>
        <v>6300000</v>
      </c>
      <c r="BY24" s="170">
        <f t="shared" si="50"/>
        <v>6300000</v>
      </c>
      <c r="BZ24" s="170">
        <f t="shared" si="50"/>
        <v>6300000</v>
      </c>
      <c r="CA24" s="170">
        <f t="shared" si="50"/>
        <v>6300000</v>
      </c>
      <c r="CB24" s="170">
        <f t="shared" si="50"/>
        <v>6300000</v>
      </c>
      <c r="CC24" s="170">
        <f t="shared" si="50"/>
        <v>6300000</v>
      </c>
      <c r="CD24" s="170">
        <f t="shared" si="50"/>
        <v>6300000</v>
      </c>
      <c r="CE24" s="212">
        <f>+BV24-BH24</f>
        <v>3150000</v>
      </c>
      <c r="CF24" s="170">
        <f>+BW24-BI24</f>
        <v>5040000</v>
      </c>
      <c r="CG24" s="170">
        <f t="shared" ref="CG24:CM24" si="51">+BX24-BJ24</f>
        <v>5040000</v>
      </c>
      <c r="CH24" s="170">
        <f t="shared" si="51"/>
        <v>5040000</v>
      </c>
      <c r="CI24" s="170">
        <f t="shared" si="51"/>
        <v>5040000</v>
      </c>
      <c r="CJ24" s="170">
        <f t="shared" si="51"/>
        <v>5040000</v>
      </c>
      <c r="CK24" s="170">
        <f t="shared" si="51"/>
        <v>5040000</v>
      </c>
      <c r="CL24" s="170">
        <f t="shared" si="51"/>
        <v>5040000</v>
      </c>
      <c r="CM24" s="170">
        <f t="shared" si="51"/>
        <v>5040000</v>
      </c>
      <c r="CN24" s="213">
        <f t="shared" ref="CN24:CN30" si="52">SUM(CE24:CM24)</f>
        <v>43470000</v>
      </c>
      <c r="CO24" s="219"/>
      <c r="CP24" s="220"/>
      <c r="CQ24" s="220"/>
      <c r="CR24" s="210"/>
      <c r="CS24" s="210"/>
      <c r="CT24" s="210"/>
      <c r="CU24" s="210"/>
      <c r="CV24" s="221">
        <f>+CN24-CP24*550</f>
        <v>43470000</v>
      </c>
      <c r="CW24" s="222"/>
      <c r="CX24" s="246" t="s">
        <v>382</v>
      </c>
    </row>
    <row r="25" spans="1:102" ht="26.1" hidden="1" customHeight="1" x14ac:dyDescent="0.25">
      <c r="A25" s="123" t="s">
        <v>22</v>
      </c>
      <c r="B25" s="359"/>
      <c r="C25" s="461" t="s">
        <v>22</v>
      </c>
      <c r="D25" s="462" t="s">
        <v>681</v>
      </c>
      <c r="E25" s="463"/>
      <c r="F25" s="464"/>
      <c r="G25" s="463"/>
      <c r="H25" s="469"/>
      <c r="I25" s="551"/>
      <c r="J25" s="552"/>
      <c r="K25" s="478"/>
      <c r="L25" s="479"/>
      <c r="M25" s="480"/>
      <c r="O25" s="481" t="s">
        <v>22</v>
      </c>
      <c r="P25" s="482"/>
      <c r="Q25" s="464"/>
      <c r="R25" s="464"/>
      <c r="S25" s="464"/>
      <c r="T25" s="464"/>
      <c r="U25" s="464"/>
      <c r="V25" s="464"/>
      <c r="W25" s="464"/>
      <c r="X25" s="464"/>
      <c r="Y25" s="464"/>
      <c r="Z25" s="464"/>
      <c r="AA25" s="464"/>
      <c r="AB25" s="464"/>
      <c r="AC25" s="464"/>
      <c r="AD25" s="464"/>
      <c r="AE25" s="464"/>
      <c r="AF25" s="483"/>
      <c r="AG25" s="482"/>
      <c r="AH25" s="464"/>
      <c r="AI25" s="464"/>
      <c r="AJ25" s="484"/>
      <c r="AK25" s="484"/>
      <c r="AL25" s="484"/>
      <c r="AM25" s="484"/>
      <c r="AN25" s="484"/>
      <c r="AO25" s="484"/>
      <c r="AP25" s="484"/>
      <c r="AQ25" s="484"/>
      <c r="AR25" s="484"/>
      <c r="AS25" s="133"/>
      <c r="AT25" s="133"/>
      <c r="AU25" s="133"/>
      <c r="AV25" s="133"/>
      <c r="AW25" s="133"/>
      <c r="AX25" s="133"/>
      <c r="AY25" s="133"/>
      <c r="AZ25" s="133"/>
      <c r="BA25" s="133"/>
      <c r="BB25" s="133"/>
      <c r="BC25" s="263"/>
      <c r="BD25" s="131"/>
      <c r="BE25" s="126"/>
      <c r="BF25" s="134"/>
      <c r="BG25" s="135">
        <f>+BG26+BG30+BG32</f>
        <v>3466388403.6100001</v>
      </c>
      <c r="BH25" s="136">
        <f>+BH26+BH30+BH32</f>
        <v>5822869035.0100002</v>
      </c>
      <c r="BI25" s="133">
        <f>+BI26+BI30+BI32</f>
        <v>4995608086.7605</v>
      </c>
      <c r="BJ25" s="133">
        <f t="shared" ref="BJ25:BP25" si="53">+BJ26+BJ30+BJ32</f>
        <v>4861585381.0985241</v>
      </c>
      <c r="BK25" s="133">
        <f t="shared" si="53"/>
        <v>5076598300.153451</v>
      </c>
      <c r="BL25" s="133">
        <f t="shared" si="53"/>
        <v>5278021625.1611233</v>
      </c>
      <c r="BM25" s="133">
        <f t="shared" si="53"/>
        <v>5466523876.4191799</v>
      </c>
      <c r="BN25" s="133">
        <f t="shared" si="53"/>
        <v>5801238300.240139</v>
      </c>
      <c r="BO25" s="133">
        <f t="shared" si="53"/>
        <v>5957613905.2521458</v>
      </c>
      <c r="BP25" s="133">
        <f t="shared" si="53"/>
        <v>6323396550.5147533</v>
      </c>
      <c r="BQ25" s="137">
        <f t="shared" si="36"/>
        <v>49583455060.609825</v>
      </c>
      <c r="BR25" s="138"/>
      <c r="BS25" s="126"/>
      <c r="BT25" s="126"/>
      <c r="BU25" s="139"/>
      <c r="BV25" s="136">
        <f>+BV26+BV30+BV32</f>
        <v>6144552338.5109997</v>
      </c>
      <c r="BW25" s="133">
        <f>+BW26+BW30+BW32</f>
        <v>5792870169.0715504</v>
      </c>
      <c r="BX25" s="133">
        <f t="shared" ref="BX25:CD25" si="54">+BX26+BX30+BX32</f>
        <v>5734318174.5236273</v>
      </c>
      <c r="BY25" s="133">
        <f t="shared" si="54"/>
        <v>6326596315.5981588</v>
      </c>
      <c r="BZ25" s="133">
        <f t="shared" si="54"/>
        <v>6884848182.9062519</v>
      </c>
      <c r="CA25" s="133">
        <f t="shared" si="54"/>
        <v>7283254294.2325687</v>
      </c>
      <c r="CB25" s="133">
        <f t="shared" si="54"/>
        <v>7802686450.0433006</v>
      </c>
      <c r="CC25" s="133">
        <f t="shared" si="54"/>
        <v>8476762629.4544802</v>
      </c>
      <c r="CD25" s="133">
        <f t="shared" si="54"/>
        <v>9411809774.0271187</v>
      </c>
      <c r="CE25" s="136">
        <f>+CE26+CE30+CE32</f>
        <v>321683303.50099981</v>
      </c>
      <c r="CF25" s="133">
        <f>+CF26+CF30+CF32</f>
        <v>797262082.31104994</v>
      </c>
      <c r="CG25" s="133">
        <f t="shared" ref="CG25:CM25" si="55">+CG26+CG30+CG32</f>
        <v>872732793.42510271</v>
      </c>
      <c r="CH25" s="133">
        <f t="shared" si="55"/>
        <v>1249998015.4447081</v>
      </c>
      <c r="CI25" s="133">
        <f t="shared" si="55"/>
        <v>1606826557.7451286</v>
      </c>
      <c r="CJ25" s="133">
        <f t="shared" si="55"/>
        <v>1816730417.8133888</v>
      </c>
      <c r="CK25" s="133">
        <f t="shared" si="55"/>
        <v>2001448149.8031621</v>
      </c>
      <c r="CL25" s="133">
        <f t="shared" si="55"/>
        <v>2519148724.2023344</v>
      </c>
      <c r="CM25" s="133">
        <f t="shared" si="55"/>
        <v>3088413223.5123663</v>
      </c>
      <c r="CN25" s="137">
        <f t="shared" si="52"/>
        <v>14274243267.758244</v>
      </c>
      <c r="CO25" s="138"/>
      <c r="CP25" s="140">
        <f>+CP26+CP30+CP32</f>
        <v>419000</v>
      </c>
      <c r="CQ25" s="126"/>
      <c r="CR25" s="126"/>
      <c r="CS25" s="126"/>
      <c r="CT25" s="126"/>
      <c r="CU25" s="126"/>
      <c r="CV25" s="141">
        <f>+CV26+CV30+CV32</f>
        <v>14043793267.75824</v>
      </c>
      <c r="CW25" s="132"/>
      <c r="CX25" s="142"/>
    </row>
    <row r="26" spans="1:102" ht="26.1" hidden="1" customHeight="1" x14ac:dyDescent="0.25">
      <c r="A26" s="143" t="s">
        <v>23</v>
      </c>
      <c r="B26" s="360"/>
      <c r="C26" s="447" t="s">
        <v>23</v>
      </c>
      <c r="D26" s="154" t="s">
        <v>682</v>
      </c>
      <c r="E26" s="448" t="s">
        <v>4</v>
      </c>
      <c r="F26" s="145"/>
      <c r="G26" s="60"/>
      <c r="H26" s="456"/>
      <c r="I26" s="549"/>
      <c r="J26" s="550"/>
      <c r="K26" s="147" t="s">
        <v>256</v>
      </c>
      <c r="L26" s="148" t="s">
        <v>258</v>
      </c>
      <c r="M26" s="149"/>
      <c r="O26" s="143" t="s">
        <v>23</v>
      </c>
      <c r="P26" s="150"/>
      <c r="Q26" s="145"/>
      <c r="R26" s="145"/>
      <c r="S26" s="145"/>
      <c r="T26" s="145"/>
      <c r="U26" s="145"/>
      <c r="V26" s="145"/>
      <c r="W26" s="145"/>
      <c r="X26" s="145"/>
      <c r="Y26" s="145"/>
      <c r="Z26" s="145"/>
      <c r="AA26" s="145"/>
      <c r="AB26" s="145"/>
      <c r="AC26" s="145"/>
      <c r="AD26" s="145"/>
      <c r="AE26" s="145"/>
      <c r="AF26" s="151"/>
      <c r="AG26" s="150"/>
      <c r="AH26" s="145"/>
      <c r="AI26" s="145"/>
      <c r="AJ26" s="152"/>
      <c r="AK26" s="152"/>
      <c r="AL26" s="152"/>
      <c r="AM26" s="152"/>
      <c r="AN26" s="152"/>
      <c r="AO26" s="152"/>
      <c r="AP26" s="152"/>
      <c r="AQ26" s="152"/>
      <c r="AR26" s="152"/>
      <c r="AS26" s="152"/>
      <c r="AT26" s="152"/>
      <c r="AU26" s="152"/>
      <c r="AV26" s="152"/>
      <c r="AW26" s="152"/>
      <c r="AX26" s="152"/>
      <c r="AY26" s="152"/>
      <c r="AZ26" s="152"/>
      <c r="BA26" s="152"/>
      <c r="BB26" s="152"/>
      <c r="BC26" s="254"/>
      <c r="BD26" s="150"/>
      <c r="BE26" s="154" t="s">
        <v>355</v>
      </c>
      <c r="BF26" s="155"/>
      <c r="BG26" s="156">
        <f>SUM(BG27:BG29)</f>
        <v>25238400</v>
      </c>
      <c r="BH26" s="157">
        <f>SUM(BH27:BH29)</f>
        <v>56564000</v>
      </c>
      <c r="BI26" s="152">
        <f>SUM(BI27:BI29)</f>
        <v>62255400</v>
      </c>
      <c r="BJ26" s="152">
        <f t="shared" ref="BJ26:BP26" si="56">SUM(BJ27:BJ29)</f>
        <v>68165400</v>
      </c>
      <c r="BK26" s="152">
        <f t="shared" si="56"/>
        <v>101715400</v>
      </c>
      <c r="BL26" s="152">
        <f t="shared" si="56"/>
        <v>69985400</v>
      </c>
      <c r="BM26" s="152">
        <f t="shared" si="56"/>
        <v>78079400</v>
      </c>
      <c r="BN26" s="152">
        <f t="shared" si="56"/>
        <v>120445400</v>
      </c>
      <c r="BO26" s="152">
        <f t="shared" si="56"/>
        <v>88625400</v>
      </c>
      <c r="BP26" s="152">
        <f t="shared" si="56"/>
        <v>137135400</v>
      </c>
      <c r="BQ26" s="156">
        <f t="shared" si="36"/>
        <v>782971200</v>
      </c>
      <c r="BR26" s="158"/>
      <c r="BS26" s="145"/>
      <c r="BT26" s="145"/>
      <c r="BU26" s="159"/>
      <c r="BV26" s="157">
        <f>SUM(BV27:BV29)</f>
        <v>97806800</v>
      </c>
      <c r="BW26" s="152">
        <f>SUM(BW27:BW29)</f>
        <v>108166940</v>
      </c>
      <c r="BX26" s="152">
        <f t="shared" ref="BX26:CC26" si="57">SUM(BX27:BX29)</f>
        <v>118166940</v>
      </c>
      <c r="BY26" s="152">
        <f t="shared" si="57"/>
        <v>159782940</v>
      </c>
      <c r="BZ26" s="152">
        <f t="shared" si="57"/>
        <v>118712940</v>
      </c>
      <c r="CA26" s="152">
        <f t="shared" si="57"/>
        <v>128712940</v>
      </c>
      <c r="CB26" s="152">
        <f t="shared" si="57"/>
        <v>186240940</v>
      </c>
      <c r="CC26" s="152">
        <f t="shared" si="57"/>
        <v>149622940</v>
      </c>
      <c r="CD26" s="156">
        <f>SUM(CD27:CD29)</f>
        <v>217622940</v>
      </c>
      <c r="CE26" s="157">
        <f>SUM(CE27:CE29)</f>
        <v>41242800</v>
      </c>
      <c r="CF26" s="152">
        <f>SUM(CF27:CF29)</f>
        <v>45911540</v>
      </c>
      <c r="CG26" s="152">
        <f t="shared" ref="CG26:CL26" si="58">SUM(CG27:CG29)</f>
        <v>50001540</v>
      </c>
      <c r="CH26" s="152">
        <f t="shared" si="58"/>
        <v>58067540</v>
      </c>
      <c r="CI26" s="152">
        <f t="shared" si="58"/>
        <v>48727540</v>
      </c>
      <c r="CJ26" s="152">
        <f t="shared" si="58"/>
        <v>50633540</v>
      </c>
      <c r="CK26" s="152">
        <f t="shared" si="58"/>
        <v>65795540</v>
      </c>
      <c r="CL26" s="152">
        <f t="shared" si="58"/>
        <v>60997540</v>
      </c>
      <c r="CM26" s="152">
        <f>SUM(CM27:CM29)</f>
        <v>80487540</v>
      </c>
      <c r="CN26" s="156">
        <f t="shared" si="52"/>
        <v>501865120</v>
      </c>
      <c r="CO26" s="158"/>
      <c r="CP26" s="160">
        <f>SUM(CP27:CP29)</f>
        <v>229000</v>
      </c>
      <c r="CQ26" s="145"/>
      <c r="CR26" s="145"/>
      <c r="CS26" s="145"/>
      <c r="CT26" s="145"/>
      <c r="CU26" s="145"/>
      <c r="CV26" s="152">
        <f>SUM(CV27:CV29)</f>
        <v>375915120</v>
      </c>
      <c r="CW26" s="151"/>
      <c r="CX26" s="162"/>
    </row>
    <row r="27" spans="1:102" ht="26.1" customHeight="1" x14ac:dyDescent="0.25">
      <c r="A27" s="264" t="s">
        <v>24</v>
      </c>
      <c r="B27" s="362"/>
      <c r="C27" s="454" t="s">
        <v>390</v>
      </c>
      <c r="D27" s="210" t="s">
        <v>683</v>
      </c>
      <c r="E27" s="48" t="s">
        <v>4</v>
      </c>
      <c r="F27" s="48" t="s">
        <v>409</v>
      </c>
      <c r="G27" s="48" t="s">
        <v>25</v>
      </c>
      <c r="H27" s="94" t="s">
        <v>474</v>
      </c>
      <c r="I27" s="547" t="s">
        <v>216</v>
      </c>
      <c r="J27" s="548" t="s">
        <v>229</v>
      </c>
      <c r="K27" s="206"/>
      <c r="L27" s="207"/>
      <c r="M27" s="208"/>
      <c r="O27" s="237" t="s">
        <v>390</v>
      </c>
      <c r="P27" s="47" t="s">
        <v>4</v>
      </c>
      <c r="Q27" s="48" t="s">
        <v>409</v>
      </c>
      <c r="R27" s="48" t="s">
        <v>314</v>
      </c>
      <c r="S27" s="48" t="s">
        <v>314</v>
      </c>
      <c r="T27" s="48"/>
      <c r="U27" s="48" t="s">
        <v>314</v>
      </c>
      <c r="V27" s="48"/>
      <c r="W27" s="48"/>
      <c r="X27" s="48" t="s">
        <v>307</v>
      </c>
      <c r="Y27" s="48"/>
      <c r="Z27" s="48"/>
      <c r="AA27" s="48"/>
      <c r="AB27" s="48"/>
      <c r="AC27" s="48" t="s">
        <v>314</v>
      </c>
      <c r="AD27" s="48"/>
      <c r="AE27" s="48" t="s">
        <v>314</v>
      </c>
      <c r="AF27" s="208"/>
      <c r="AG27" s="47" t="s">
        <v>315</v>
      </c>
      <c r="AH27" s="266" t="s">
        <v>319</v>
      </c>
      <c r="AI27" s="68" t="s">
        <v>322</v>
      </c>
      <c r="AJ27" s="170">
        <v>1</v>
      </c>
      <c r="AK27" s="170">
        <v>1</v>
      </c>
      <c r="AL27" s="170">
        <v>1</v>
      </c>
      <c r="AM27" s="170">
        <v>1</v>
      </c>
      <c r="AN27" s="170">
        <v>1</v>
      </c>
      <c r="AO27" s="170">
        <v>1</v>
      </c>
      <c r="AP27" s="170">
        <v>1</v>
      </c>
      <c r="AQ27" s="170">
        <v>1</v>
      </c>
      <c r="AR27" s="170">
        <v>1</v>
      </c>
      <c r="AS27" s="170">
        <v>1</v>
      </c>
      <c r="AT27" s="170">
        <v>1</v>
      </c>
      <c r="AU27" s="170">
        <v>1</v>
      </c>
      <c r="AV27" s="170">
        <v>1</v>
      </c>
      <c r="AW27" s="170">
        <v>1</v>
      </c>
      <c r="AX27" s="170">
        <v>1</v>
      </c>
      <c r="AY27" s="170">
        <v>1</v>
      </c>
      <c r="AZ27" s="170">
        <v>1</v>
      </c>
      <c r="BA27" s="170">
        <v>1</v>
      </c>
      <c r="BB27" s="170"/>
      <c r="BC27" s="260"/>
      <c r="BD27" s="268" t="s">
        <v>4</v>
      </c>
      <c r="BE27" s="68" t="s">
        <v>312</v>
      </c>
      <c r="BF27" s="48" t="s">
        <v>323</v>
      </c>
      <c r="BG27" s="269">
        <v>20000000</v>
      </c>
      <c r="BH27" s="212">
        <v>20000000</v>
      </c>
      <c r="BI27" s="170">
        <v>25000000</v>
      </c>
      <c r="BJ27" s="170">
        <v>30000000</v>
      </c>
      <c r="BK27" s="170">
        <v>30000000</v>
      </c>
      <c r="BL27" s="170">
        <v>30000000</v>
      </c>
      <c r="BM27" s="170">
        <v>35000000</v>
      </c>
      <c r="BN27" s="170">
        <v>35000000</v>
      </c>
      <c r="BO27" s="170">
        <v>45000000</v>
      </c>
      <c r="BP27" s="170">
        <v>45000000</v>
      </c>
      <c r="BQ27" s="213">
        <f t="shared" ref="BQ27:BQ34" si="59">SUM(BH27:BP27)</f>
        <v>295000000</v>
      </c>
      <c r="BR27" s="270">
        <v>1</v>
      </c>
      <c r="BS27" s="48" t="s">
        <v>324</v>
      </c>
      <c r="BT27" s="48"/>
      <c r="BU27" s="243"/>
      <c r="BV27" s="212">
        <f>+BH27*2</f>
        <v>40000000</v>
      </c>
      <c r="BW27" s="170">
        <f t="shared" ref="BW27:CD27" si="60">+BI27*2</f>
        <v>50000000</v>
      </c>
      <c r="BX27" s="170">
        <f t="shared" si="60"/>
        <v>60000000</v>
      </c>
      <c r="BY27" s="170">
        <f t="shared" si="60"/>
        <v>60000000</v>
      </c>
      <c r="BZ27" s="170">
        <f t="shared" si="60"/>
        <v>60000000</v>
      </c>
      <c r="CA27" s="170">
        <f t="shared" si="60"/>
        <v>70000000</v>
      </c>
      <c r="CB27" s="170">
        <f t="shared" si="60"/>
        <v>70000000</v>
      </c>
      <c r="CC27" s="170">
        <f t="shared" si="60"/>
        <v>90000000</v>
      </c>
      <c r="CD27" s="213">
        <f t="shared" si="60"/>
        <v>90000000</v>
      </c>
      <c r="CE27" s="212">
        <f>+BV27-BH27</f>
        <v>20000000</v>
      </c>
      <c r="CF27" s="170">
        <f t="shared" ref="CF27:CM28" si="61">+BW27-BI27</f>
        <v>25000000</v>
      </c>
      <c r="CG27" s="170">
        <f t="shared" si="61"/>
        <v>30000000</v>
      </c>
      <c r="CH27" s="170">
        <f t="shared" si="61"/>
        <v>30000000</v>
      </c>
      <c r="CI27" s="170">
        <f t="shared" si="61"/>
        <v>30000000</v>
      </c>
      <c r="CJ27" s="170">
        <f t="shared" si="61"/>
        <v>35000000</v>
      </c>
      <c r="CK27" s="170">
        <f t="shared" si="61"/>
        <v>35000000</v>
      </c>
      <c r="CL27" s="170">
        <f t="shared" si="61"/>
        <v>45000000</v>
      </c>
      <c r="CM27" s="170">
        <f t="shared" si="61"/>
        <v>45000000</v>
      </c>
      <c r="CN27" s="213">
        <f t="shared" si="52"/>
        <v>295000000</v>
      </c>
      <c r="CO27" s="219"/>
      <c r="CP27" s="220"/>
      <c r="CQ27" s="220"/>
      <c r="CR27" s="210"/>
      <c r="CS27" s="210"/>
      <c r="CT27" s="210"/>
      <c r="CU27" s="210"/>
      <c r="CV27" s="221">
        <f>+CN27-CP27*550</f>
        <v>295000000</v>
      </c>
      <c r="CW27" s="222"/>
      <c r="CX27" s="271"/>
    </row>
    <row r="28" spans="1:102" ht="26.1" customHeight="1" x14ac:dyDescent="0.25">
      <c r="A28" s="184"/>
      <c r="B28" s="362"/>
      <c r="C28" s="454" t="s">
        <v>391</v>
      </c>
      <c r="D28" s="451" t="s">
        <v>684</v>
      </c>
      <c r="E28" s="48" t="s">
        <v>4</v>
      </c>
      <c r="F28" s="48" t="s">
        <v>409</v>
      </c>
      <c r="G28" s="48" t="s">
        <v>25</v>
      </c>
      <c r="H28" s="94" t="s">
        <v>474</v>
      </c>
      <c r="I28" s="547" t="s">
        <v>216</v>
      </c>
      <c r="J28" s="548" t="s">
        <v>229</v>
      </c>
      <c r="K28" s="206"/>
      <c r="L28" s="207"/>
      <c r="M28" s="208"/>
      <c r="O28" s="237" t="s">
        <v>391</v>
      </c>
      <c r="P28" s="47" t="s">
        <v>4</v>
      </c>
      <c r="Q28" s="48" t="s">
        <v>409</v>
      </c>
      <c r="R28" s="48" t="s">
        <v>314</v>
      </c>
      <c r="S28" s="48"/>
      <c r="T28" s="48"/>
      <c r="U28" s="48"/>
      <c r="V28" s="48"/>
      <c r="W28" s="48"/>
      <c r="X28" s="48" t="s">
        <v>307</v>
      </c>
      <c r="Y28" s="48"/>
      <c r="Z28" s="48"/>
      <c r="AA28" s="48"/>
      <c r="AB28" s="48"/>
      <c r="AC28" s="48" t="s">
        <v>314</v>
      </c>
      <c r="AD28" s="48"/>
      <c r="AE28" s="48" t="s">
        <v>314</v>
      </c>
      <c r="AF28" s="208"/>
      <c r="AG28" s="47" t="s">
        <v>315</v>
      </c>
      <c r="AH28" s="266" t="s">
        <v>319</v>
      </c>
      <c r="AI28" s="68" t="s">
        <v>325</v>
      </c>
      <c r="AJ28" s="170">
        <v>38</v>
      </c>
      <c r="AK28" s="170">
        <v>40</v>
      </c>
      <c r="AL28" s="170">
        <v>45</v>
      </c>
      <c r="AM28" s="170">
        <v>50</v>
      </c>
      <c r="AN28" s="170">
        <v>55</v>
      </c>
      <c r="AO28" s="170">
        <v>72</v>
      </c>
      <c r="AP28" s="170">
        <v>75</v>
      </c>
      <c r="AQ28" s="170">
        <v>75</v>
      </c>
      <c r="AR28" s="170">
        <v>80</v>
      </c>
      <c r="AS28" s="170">
        <v>72</v>
      </c>
      <c r="AT28" s="170">
        <v>72</v>
      </c>
      <c r="AU28" s="170">
        <v>72</v>
      </c>
      <c r="AV28" s="170">
        <v>72</v>
      </c>
      <c r="AW28" s="170">
        <v>75</v>
      </c>
      <c r="AX28" s="170">
        <v>75</v>
      </c>
      <c r="AY28" s="170">
        <v>75</v>
      </c>
      <c r="AZ28" s="170">
        <v>80</v>
      </c>
      <c r="BA28" s="170">
        <v>80</v>
      </c>
      <c r="BB28" s="170">
        <v>90</v>
      </c>
      <c r="BC28" s="260">
        <v>100</v>
      </c>
      <c r="BD28" s="268"/>
      <c r="BE28" s="68" t="s">
        <v>312</v>
      </c>
      <c r="BF28" s="48" t="s">
        <v>323</v>
      </c>
      <c r="BG28" s="241"/>
      <c r="BH28" s="212">
        <f>182000*AJ28+15000000+45*180000</f>
        <v>30016000</v>
      </c>
      <c r="BI28" s="170">
        <f>182000*AK28+15000000+45*180000</f>
        <v>30380000</v>
      </c>
      <c r="BJ28" s="170">
        <f>182000*AL28+15000000+45*180000</f>
        <v>31290000</v>
      </c>
      <c r="BK28" s="170">
        <f>182000*AM28+15000000+45*180000+68000*480</f>
        <v>64840000</v>
      </c>
      <c r="BL28" s="170">
        <f>182000*AN28+15000000+45*180000</f>
        <v>33110000</v>
      </c>
      <c r="BM28" s="170">
        <f>182000*AO28+15000000+45*180000</f>
        <v>36204000</v>
      </c>
      <c r="BN28" s="170">
        <f>182000*AP28+15000000+45*180000+68000*615</f>
        <v>78570000</v>
      </c>
      <c r="BO28" s="170">
        <f>182000*AQ28+15000000+45*180000</f>
        <v>36750000</v>
      </c>
      <c r="BP28" s="170">
        <f>182000*AR28+15000000+45*180000+68000*700</f>
        <v>85260000</v>
      </c>
      <c r="BQ28" s="213">
        <f t="shared" si="59"/>
        <v>426420000</v>
      </c>
      <c r="BR28" s="242">
        <v>1</v>
      </c>
      <c r="BS28" s="48"/>
      <c r="BT28" s="48"/>
      <c r="BU28" s="243"/>
      <c r="BV28" s="212">
        <f>182000*AS28+37500000</f>
        <v>50604000</v>
      </c>
      <c r="BW28" s="170">
        <f t="shared" ref="BW28:CC28" si="62">182000*AT28+37500000</f>
        <v>50604000</v>
      </c>
      <c r="BX28" s="170">
        <f t="shared" si="62"/>
        <v>50604000</v>
      </c>
      <c r="BY28" s="170">
        <f>182000*AV28+37500000+68000*612</f>
        <v>92220000</v>
      </c>
      <c r="BZ28" s="170">
        <f t="shared" si="62"/>
        <v>51150000</v>
      </c>
      <c r="CA28" s="170">
        <f t="shared" si="62"/>
        <v>51150000</v>
      </c>
      <c r="CB28" s="170">
        <f>182000*AY28+37500000+68000*846</f>
        <v>108678000</v>
      </c>
      <c r="CC28" s="170">
        <f t="shared" si="62"/>
        <v>52060000</v>
      </c>
      <c r="CD28" s="213">
        <f>182000*BA28+37500000+68000*1000</f>
        <v>120060000</v>
      </c>
      <c r="CE28" s="212">
        <f>+BV28-BH28</f>
        <v>20588000</v>
      </c>
      <c r="CF28" s="170">
        <f t="shared" si="61"/>
        <v>20224000</v>
      </c>
      <c r="CG28" s="170">
        <f t="shared" si="61"/>
        <v>19314000</v>
      </c>
      <c r="CH28" s="170">
        <f t="shared" si="61"/>
        <v>27380000</v>
      </c>
      <c r="CI28" s="170">
        <f t="shared" si="61"/>
        <v>18040000</v>
      </c>
      <c r="CJ28" s="170">
        <f t="shared" si="61"/>
        <v>14946000</v>
      </c>
      <c r="CK28" s="170">
        <f t="shared" si="61"/>
        <v>30108000</v>
      </c>
      <c r="CL28" s="170">
        <f t="shared" si="61"/>
        <v>15310000</v>
      </c>
      <c r="CM28" s="170">
        <f t="shared" si="61"/>
        <v>34800000</v>
      </c>
      <c r="CN28" s="213">
        <f t="shared" si="52"/>
        <v>200710000</v>
      </c>
      <c r="CO28" s="219"/>
      <c r="CP28" s="220">
        <f>60000+169000</f>
        <v>229000</v>
      </c>
      <c r="CQ28" s="220" t="s">
        <v>360</v>
      </c>
      <c r="CR28" s="210"/>
      <c r="CS28" s="210"/>
      <c r="CT28" s="210"/>
      <c r="CU28" s="210"/>
      <c r="CV28" s="221">
        <f>+CN28-CP28*550</f>
        <v>74760000</v>
      </c>
      <c r="CW28" s="222"/>
      <c r="CX28" s="271"/>
    </row>
    <row r="29" spans="1:102" ht="30" customHeight="1" x14ac:dyDescent="0.25">
      <c r="A29" s="204" t="s">
        <v>26</v>
      </c>
      <c r="B29" s="362"/>
      <c r="C29" s="450" t="s">
        <v>361</v>
      </c>
      <c r="D29" s="451" t="s">
        <v>685</v>
      </c>
      <c r="E29" s="48" t="s">
        <v>4</v>
      </c>
      <c r="F29" s="48" t="s">
        <v>407</v>
      </c>
      <c r="G29" s="48" t="s">
        <v>395</v>
      </c>
      <c r="H29" s="455" t="s">
        <v>660</v>
      </c>
      <c r="I29" s="547" t="s">
        <v>246</v>
      </c>
      <c r="J29" s="548" t="s">
        <v>229</v>
      </c>
      <c r="K29" s="206"/>
      <c r="L29" s="207"/>
      <c r="M29" s="208"/>
      <c r="O29" s="204" t="s">
        <v>361</v>
      </c>
      <c r="P29" s="47" t="s">
        <v>4</v>
      </c>
      <c r="Q29" s="48" t="s">
        <v>407</v>
      </c>
      <c r="R29" s="50" t="s">
        <v>314</v>
      </c>
      <c r="S29" s="50"/>
      <c r="T29" s="48" t="s">
        <v>314</v>
      </c>
      <c r="U29" s="50"/>
      <c r="V29" s="50"/>
      <c r="W29" s="50"/>
      <c r="X29" s="50" t="s">
        <v>307</v>
      </c>
      <c r="Y29" s="50"/>
      <c r="Z29" s="50"/>
      <c r="AA29" s="50" t="s">
        <v>314</v>
      </c>
      <c r="AB29" s="50"/>
      <c r="AC29" s="50"/>
      <c r="AD29" s="50" t="s">
        <v>314</v>
      </c>
      <c r="AE29" s="50"/>
      <c r="AF29" s="259"/>
      <c r="AG29" s="47" t="s">
        <v>308</v>
      </c>
      <c r="AH29" s="210" t="s">
        <v>309</v>
      </c>
      <c r="AI29" s="68" t="s">
        <v>370</v>
      </c>
      <c r="AJ29" s="170">
        <v>15</v>
      </c>
      <c r="AK29" s="170">
        <v>15</v>
      </c>
      <c r="AL29" s="170">
        <v>20</v>
      </c>
      <c r="AM29" s="170">
        <v>20</v>
      </c>
      <c r="AN29" s="170">
        <v>20</v>
      </c>
      <c r="AO29" s="170">
        <v>20</v>
      </c>
      <c r="AP29" s="170">
        <v>20</v>
      </c>
      <c r="AQ29" s="170">
        <v>20</v>
      </c>
      <c r="AR29" s="170">
        <v>20</v>
      </c>
      <c r="AS29" s="170">
        <v>50</v>
      </c>
      <c r="AT29" s="272">
        <v>60</v>
      </c>
      <c r="AU29" s="272">
        <v>70</v>
      </c>
      <c r="AV29" s="272">
        <v>80</v>
      </c>
      <c r="AW29" s="272">
        <v>90</v>
      </c>
      <c r="AX29" s="272">
        <v>95</v>
      </c>
      <c r="AY29" s="272">
        <v>95</v>
      </c>
      <c r="AZ29" s="272">
        <v>95</v>
      </c>
      <c r="BA29" s="272">
        <v>95</v>
      </c>
      <c r="BB29" s="272">
        <v>95</v>
      </c>
      <c r="BC29" s="260">
        <v>95</v>
      </c>
      <c r="BD29" s="206" t="s">
        <v>4</v>
      </c>
      <c r="BE29" s="68" t="s">
        <v>312</v>
      </c>
      <c r="BF29" s="48" t="s">
        <v>323</v>
      </c>
      <c r="BG29" s="273">
        <f>BH29-(BH29*0.2)</f>
        <v>5238400</v>
      </c>
      <c r="BH29" s="212">
        <v>6548000</v>
      </c>
      <c r="BI29" s="170">
        <v>6875400</v>
      </c>
      <c r="BJ29" s="170">
        <v>6875400</v>
      </c>
      <c r="BK29" s="170">
        <v>6875400</v>
      </c>
      <c r="BL29" s="170">
        <v>6875400</v>
      </c>
      <c r="BM29" s="170">
        <v>6875400</v>
      </c>
      <c r="BN29" s="170">
        <v>6875400</v>
      </c>
      <c r="BO29" s="170">
        <v>6875400</v>
      </c>
      <c r="BP29" s="170">
        <v>6875400</v>
      </c>
      <c r="BQ29" s="213">
        <f t="shared" si="59"/>
        <v>61551200</v>
      </c>
      <c r="BR29" s="274">
        <v>1</v>
      </c>
      <c r="BS29" s="170">
        <v>0.1</v>
      </c>
      <c r="BT29" s="170">
        <v>0</v>
      </c>
      <c r="BU29" s="213"/>
      <c r="BV29" s="212">
        <v>7202800</v>
      </c>
      <c r="BW29" s="170">
        <v>7562940</v>
      </c>
      <c r="BX29" s="170">
        <v>7562940</v>
      </c>
      <c r="BY29" s="170">
        <v>7562940</v>
      </c>
      <c r="BZ29" s="170">
        <v>7562940</v>
      </c>
      <c r="CA29" s="170">
        <v>7562940</v>
      </c>
      <c r="CB29" s="170">
        <v>7562940</v>
      </c>
      <c r="CC29" s="170">
        <v>7562940</v>
      </c>
      <c r="CD29" s="213">
        <v>7562940</v>
      </c>
      <c r="CE29" s="212">
        <f>BV29-BH29</f>
        <v>654800</v>
      </c>
      <c r="CF29" s="170">
        <f t="shared" ref="CF29:CM29" si="63">BW29-BI29</f>
        <v>687540</v>
      </c>
      <c r="CG29" s="170">
        <f t="shared" si="63"/>
        <v>687540</v>
      </c>
      <c r="CH29" s="170">
        <f t="shared" si="63"/>
        <v>687540</v>
      </c>
      <c r="CI29" s="170">
        <f t="shared" si="63"/>
        <v>687540</v>
      </c>
      <c r="CJ29" s="170">
        <f t="shared" si="63"/>
        <v>687540</v>
      </c>
      <c r="CK29" s="170">
        <f t="shared" si="63"/>
        <v>687540</v>
      </c>
      <c r="CL29" s="170">
        <f t="shared" si="63"/>
        <v>687540</v>
      </c>
      <c r="CM29" s="170">
        <f t="shared" si="63"/>
        <v>687540</v>
      </c>
      <c r="CN29" s="213">
        <f t="shared" si="52"/>
        <v>6155120</v>
      </c>
      <c r="CO29" s="219"/>
      <c r="CP29" s="220"/>
      <c r="CQ29" s="220"/>
      <c r="CR29" s="210"/>
      <c r="CS29" s="210"/>
      <c r="CT29" s="210"/>
      <c r="CU29" s="210"/>
      <c r="CV29" s="221">
        <f>+CN29-CP29*550</f>
        <v>6155120</v>
      </c>
      <c r="CW29" s="222"/>
      <c r="CX29" s="246"/>
    </row>
    <row r="30" spans="1:102" ht="26.1" hidden="1" customHeight="1" x14ac:dyDescent="0.25">
      <c r="A30" s="143" t="s">
        <v>27</v>
      </c>
      <c r="B30" s="360"/>
      <c r="C30" s="447" t="s">
        <v>27</v>
      </c>
      <c r="D30" s="154" t="s">
        <v>686</v>
      </c>
      <c r="E30" s="448" t="s">
        <v>4</v>
      </c>
      <c r="F30" s="145"/>
      <c r="G30" s="60"/>
      <c r="H30" s="453"/>
      <c r="I30" s="549"/>
      <c r="J30" s="550"/>
      <c r="K30" s="147" t="s">
        <v>256</v>
      </c>
      <c r="L30" s="148" t="s">
        <v>258</v>
      </c>
      <c r="M30" s="149"/>
      <c r="O30" s="143" t="s">
        <v>27</v>
      </c>
      <c r="P30" s="150"/>
      <c r="Q30" s="145"/>
      <c r="R30" s="145"/>
      <c r="S30" s="145"/>
      <c r="T30" s="145"/>
      <c r="U30" s="145"/>
      <c r="V30" s="145"/>
      <c r="W30" s="145"/>
      <c r="X30" s="145"/>
      <c r="Y30" s="145"/>
      <c r="Z30" s="145"/>
      <c r="AA30" s="145"/>
      <c r="AB30" s="145"/>
      <c r="AC30" s="145"/>
      <c r="AD30" s="145"/>
      <c r="AE30" s="145"/>
      <c r="AF30" s="151"/>
      <c r="AG30" s="150"/>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51"/>
      <c r="BD30" s="150"/>
      <c r="BE30" s="154" t="s">
        <v>357</v>
      </c>
      <c r="BF30" s="155"/>
      <c r="BG30" s="156">
        <f>SUM(BG31)</f>
        <v>0</v>
      </c>
      <c r="BH30" s="157">
        <f>SUM(BH31)</f>
        <v>1736900000</v>
      </c>
      <c r="BI30" s="152">
        <f>SUM(BI31)</f>
        <v>767900000</v>
      </c>
      <c r="BJ30" s="152">
        <f t="shared" ref="BJ30:BP30" si="64">SUM(BJ31)</f>
        <v>469400000</v>
      </c>
      <c r="BK30" s="152">
        <f t="shared" si="64"/>
        <v>484400000</v>
      </c>
      <c r="BL30" s="152">
        <f t="shared" si="64"/>
        <v>542800000</v>
      </c>
      <c r="BM30" s="152">
        <f t="shared" si="64"/>
        <v>521000000</v>
      </c>
      <c r="BN30" s="152">
        <f t="shared" si="64"/>
        <v>639500000</v>
      </c>
      <c r="BO30" s="152">
        <f t="shared" si="64"/>
        <v>625500000</v>
      </c>
      <c r="BP30" s="152">
        <f t="shared" si="64"/>
        <v>730500000</v>
      </c>
      <c r="BQ30" s="156">
        <f t="shared" si="59"/>
        <v>6517900000</v>
      </c>
      <c r="BR30" s="158"/>
      <c r="BS30" s="145"/>
      <c r="BT30" s="145"/>
      <c r="BU30" s="159"/>
      <c r="BV30" s="157">
        <f>SUM(BV31)</f>
        <v>1708400000</v>
      </c>
      <c r="BW30" s="152">
        <f>SUM(BW31)</f>
        <v>1041400000</v>
      </c>
      <c r="BX30" s="152">
        <f t="shared" ref="BX30:CC30" si="65">SUM(BX31)</f>
        <v>612899999</v>
      </c>
      <c r="BY30" s="152">
        <f t="shared" si="65"/>
        <v>767900000</v>
      </c>
      <c r="BZ30" s="152">
        <f t="shared" si="65"/>
        <v>932300000</v>
      </c>
      <c r="CA30" s="152">
        <f t="shared" si="65"/>
        <v>814500000</v>
      </c>
      <c r="CB30" s="152">
        <f t="shared" si="65"/>
        <v>779000000</v>
      </c>
      <c r="CC30" s="152">
        <f t="shared" si="65"/>
        <v>912000000</v>
      </c>
      <c r="CD30" s="156">
        <f>SUM(CD31)</f>
        <v>1144000001</v>
      </c>
      <c r="CE30" s="157">
        <f>SUM(CE31)</f>
        <v>-28500000</v>
      </c>
      <c r="CF30" s="152">
        <f>SUM(CF31)</f>
        <v>273500000</v>
      </c>
      <c r="CG30" s="152">
        <f t="shared" ref="CG30:CM30" si="66">SUM(CG31)</f>
        <v>143499999</v>
      </c>
      <c r="CH30" s="152">
        <f t="shared" si="66"/>
        <v>283500000</v>
      </c>
      <c r="CI30" s="152">
        <f t="shared" si="66"/>
        <v>389500000</v>
      </c>
      <c r="CJ30" s="152">
        <f t="shared" si="66"/>
        <v>293500000</v>
      </c>
      <c r="CK30" s="152">
        <f t="shared" si="66"/>
        <v>139500000</v>
      </c>
      <c r="CL30" s="152">
        <f t="shared" si="66"/>
        <v>286500000</v>
      </c>
      <c r="CM30" s="152">
        <f t="shared" si="66"/>
        <v>413500001</v>
      </c>
      <c r="CN30" s="156">
        <f t="shared" si="52"/>
        <v>2194500000</v>
      </c>
      <c r="CO30" s="158"/>
      <c r="CP30" s="160">
        <f>SUM(CP31)</f>
        <v>100000</v>
      </c>
      <c r="CQ30" s="145"/>
      <c r="CR30" s="145"/>
      <c r="CS30" s="145"/>
      <c r="CT30" s="145"/>
      <c r="CU30" s="145"/>
      <c r="CV30" s="161">
        <f>SUM(CV31)</f>
        <v>2139500000</v>
      </c>
      <c r="CW30" s="151"/>
      <c r="CX30" s="162"/>
    </row>
    <row r="31" spans="1:102" ht="26.1" customHeight="1" x14ac:dyDescent="0.25">
      <c r="A31" s="237" t="s">
        <v>28</v>
      </c>
      <c r="B31" s="362"/>
      <c r="C31" s="454" t="s">
        <v>28</v>
      </c>
      <c r="D31" s="210" t="s">
        <v>687</v>
      </c>
      <c r="E31" s="48" t="s">
        <v>4</v>
      </c>
      <c r="F31" s="48" t="s">
        <v>409</v>
      </c>
      <c r="G31" s="48" t="s">
        <v>25</v>
      </c>
      <c r="H31" s="94" t="s">
        <v>107</v>
      </c>
      <c r="I31" s="547" t="s">
        <v>217</v>
      </c>
      <c r="J31" s="548" t="s">
        <v>229</v>
      </c>
      <c r="K31" s="206"/>
      <c r="L31" s="207"/>
      <c r="M31" s="208"/>
      <c r="O31" s="237" t="s">
        <v>28</v>
      </c>
      <c r="P31" s="47" t="s">
        <v>4</v>
      </c>
      <c r="Q31" s="48" t="s">
        <v>409</v>
      </c>
      <c r="R31" s="48" t="s">
        <v>314</v>
      </c>
      <c r="S31" s="48" t="s">
        <v>314</v>
      </c>
      <c r="T31" s="48"/>
      <c r="U31" s="48" t="s">
        <v>314</v>
      </c>
      <c r="V31" s="48"/>
      <c r="W31" s="48"/>
      <c r="X31" s="48" t="s">
        <v>307</v>
      </c>
      <c r="Y31" s="48"/>
      <c r="Z31" s="48"/>
      <c r="AA31" s="48"/>
      <c r="AB31" s="48"/>
      <c r="AC31" s="48" t="s">
        <v>314</v>
      </c>
      <c r="AD31" s="48"/>
      <c r="AE31" s="48" t="s">
        <v>314</v>
      </c>
      <c r="AF31" s="208"/>
      <c r="AG31" s="47" t="s">
        <v>315</v>
      </c>
      <c r="AH31" s="266" t="s">
        <v>319</v>
      </c>
      <c r="AI31" s="68" t="s">
        <v>419</v>
      </c>
      <c r="AJ31" s="438">
        <v>0.7</v>
      </c>
      <c r="AK31" s="438">
        <v>0.7</v>
      </c>
      <c r="AL31" s="438">
        <v>0.7</v>
      </c>
      <c r="AM31" s="438">
        <v>0.7</v>
      </c>
      <c r="AN31" s="438">
        <v>0.7</v>
      </c>
      <c r="AO31" s="438">
        <v>0.7</v>
      </c>
      <c r="AP31" s="438">
        <v>0.7</v>
      </c>
      <c r="AQ31" s="438">
        <v>0.7</v>
      </c>
      <c r="AR31" s="438">
        <v>0.7</v>
      </c>
      <c r="AS31" s="438">
        <v>0.9</v>
      </c>
      <c r="AT31" s="438">
        <v>0.9</v>
      </c>
      <c r="AU31" s="438">
        <v>0.9</v>
      </c>
      <c r="AV31" s="438">
        <v>0.9</v>
      </c>
      <c r="AW31" s="438">
        <v>0.9</v>
      </c>
      <c r="AX31" s="438">
        <v>0.9</v>
      </c>
      <c r="AY31" s="438">
        <v>0.9</v>
      </c>
      <c r="AZ31" s="438">
        <v>0.9</v>
      </c>
      <c r="BA31" s="438">
        <v>0.9</v>
      </c>
      <c r="BB31" s="48"/>
      <c r="BC31" s="94"/>
      <c r="BD31" s="268" t="s">
        <v>4</v>
      </c>
      <c r="BE31" s="68" t="s">
        <v>349</v>
      </c>
      <c r="BF31" s="48" t="s">
        <v>323</v>
      </c>
      <c r="BG31" s="241"/>
      <c r="BH31" s="212">
        <v>1736900000</v>
      </c>
      <c r="BI31" s="170">
        <v>767900000</v>
      </c>
      <c r="BJ31" s="170">
        <v>469400000</v>
      </c>
      <c r="BK31" s="170">
        <v>484400000</v>
      </c>
      <c r="BL31" s="170">
        <v>542800000</v>
      </c>
      <c r="BM31" s="170">
        <v>521000000</v>
      </c>
      <c r="BN31" s="170">
        <v>639500000</v>
      </c>
      <c r="BO31" s="170">
        <v>625500000</v>
      </c>
      <c r="BP31" s="170">
        <v>730500000</v>
      </c>
      <c r="BQ31" s="213">
        <f t="shared" si="59"/>
        <v>6517900000</v>
      </c>
      <c r="BR31" s="242">
        <v>1</v>
      </c>
      <c r="BS31" s="48"/>
      <c r="BT31" s="48"/>
      <c r="BU31" s="243"/>
      <c r="BV31" s="212">
        <v>1708400000</v>
      </c>
      <c r="BW31" s="170">
        <v>1041400000</v>
      </c>
      <c r="BX31" s="170">
        <v>612899999</v>
      </c>
      <c r="BY31" s="170">
        <v>767900000</v>
      </c>
      <c r="BZ31" s="170">
        <v>932300000</v>
      </c>
      <c r="CA31" s="170">
        <v>814500000</v>
      </c>
      <c r="CB31" s="170">
        <v>779000000</v>
      </c>
      <c r="CC31" s="170">
        <v>912000000</v>
      </c>
      <c r="CD31" s="213">
        <v>1144000001</v>
      </c>
      <c r="CE31" s="212">
        <v>-28500000</v>
      </c>
      <c r="CF31" s="170">
        <v>273500000</v>
      </c>
      <c r="CG31" s="170">
        <v>143499999</v>
      </c>
      <c r="CH31" s="170">
        <v>283500000</v>
      </c>
      <c r="CI31" s="170">
        <v>389500000</v>
      </c>
      <c r="CJ31" s="170">
        <v>293500000</v>
      </c>
      <c r="CK31" s="170">
        <v>139500000</v>
      </c>
      <c r="CL31" s="170">
        <v>286500000</v>
      </c>
      <c r="CM31" s="170">
        <v>413500001</v>
      </c>
      <c r="CN31" s="213">
        <v>2194500000</v>
      </c>
      <c r="CO31" s="219"/>
      <c r="CP31" s="220">
        <v>100000</v>
      </c>
      <c r="CQ31" s="220" t="s">
        <v>326</v>
      </c>
      <c r="CR31" s="210"/>
      <c r="CS31" s="210"/>
      <c r="CT31" s="210"/>
      <c r="CU31" s="210"/>
      <c r="CV31" s="221">
        <f>+CN31-CP31*550</f>
        <v>2139500000</v>
      </c>
      <c r="CW31" s="222"/>
      <c r="CX31" s="246"/>
    </row>
    <row r="32" spans="1:102" ht="26.1" hidden="1" customHeight="1" x14ac:dyDescent="0.25">
      <c r="A32" s="143" t="s">
        <v>29</v>
      </c>
      <c r="B32" s="360"/>
      <c r="C32" s="447" t="s">
        <v>29</v>
      </c>
      <c r="D32" s="154" t="s">
        <v>688</v>
      </c>
      <c r="E32" s="448" t="s">
        <v>4</v>
      </c>
      <c r="F32" s="145"/>
      <c r="G32" s="60"/>
      <c r="H32" s="453"/>
      <c r="I32" s="549"/>
      <c r="J32" s="550"/>
      <c r="K32" s="147" t="s">
        <v>256</v>
      </c>
      <c r="L32" s="148" t="s">
        <v>258</v>
      </c>
      <c r="M32" s="149"/>
      <c r="O32" s="143" t="s">
        <v>29</v>
      </c>
      <c r="P32" s="150"/>
      <c r="Q32" s="145"/>
      <c r="R32" s="145"/>
      <c r="S32" s="145"/>
      <c r="T32" s="145"/>
      <c r="U32" s="145"/>
      <c r="V32" s="145"/>
      <c r="W32" s="145"/>
      <c r="X32" s="145"/>
      <c r="Y32" s="145"/>
      <c r="Z32" s="145"/>
      <c r="AA32" s="145"/>
      <c r="AB32" s="145"/>
      <c r="AC32" s="145"/>
      <c r="AD32" s="145"/>
      <c r="AE32" s="145"/>
      <c r="AF32" s="151"/>
      <c r="AG32" s="150"/>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51"/>
      <c r="BD32" s="150"/>
      <c r="BE32" s="154" t="s">
        <v>357</v>
      </c>
      <c r="BF32" s="155"/>
      <c r="BG32" s="156">
        <f>SUM(BG33:BG35)</f>
        <v>3441150003.6100001</v>
      </c>
      <c r="BH32" s="157">
        <f>SUM(BH33:BH35)</f>
        <v>4029405035.0100002</v>
      </c>
      <c r="BI32" s="152">
        <f>SUM(BI33:BI35)</f>
        <v>4165452686.7605</v>
      </c>
      <c r="BJ32" s="152">
        <f t="shared" ref="BJ32:BP32" si="67">SUM(BJ33:BJ35)</f>
        <v>4324019981.0985241</v>
      </c>
      <c r="BK32" s="152">
        <f t="shared" si="67"/>
        <v>4490482900.153451</v>
      </c>
      <c r="BL32" s="152">
        <f t="shared" si="67"/>
        <v>4665236225.1611233</v>
      </c>
      <c r="BM32" s="152">
        <f t="shared" si="67"/>
        <v>4867444476.4191799</v>
      </c>
      <c r="BN32" s="152">
        <f t="shared" si="67"/>
        <v>5041292900.240139</v>
      </c>
      <c r="BO32" s="152">
        <f t="shared" si="67"/>
        <v>5243488505.2521458</v>
      </c>
      <c r="BP32" s="152">
        <f t="shared" si="67"/>
        <v>5455761150.5147533</v>
      </c>
      <c r="BQ32" s="156">
        <f t="shared" si="59"/>
        <v>42282583860.609825</v>
      </c>
      <c r="BR32" s="158"/>
      <c r="BS32" s="145"/>
      <c r="BT32" s="145"/>
      <c r="BU32" s="159"/>
      <c r="BV32" s="157">
        <f>SUM(BV33:BV35)</f>
        <v>4338345538.5109997</v>
      </c>
      <c r="BW32" s="152">
        <f>SUM(BW33:BW35)</f>
        <v>4643303229.0715504</v>
      </c>
      <c r="BX32" s="152">
        <f t="shared" ref="BX32:CC32" si="68">SUM(BX33:BX35)</f>
        <v>5003251235.5236273</v>
      </c>
      <c r="BY32" s="152">
        <f t="shared" si="68"/>
        <v>5398913375.5981588</v>
      </c>
      <c r="BZ32" s="152">
        <f t="shared" si="68"/>
        <v>5833835242.9062519</v>
      </c>
      <c r="CA32" s="152">
        <f t="shared" si="68"/>
        <v>6340041354.2325687</v>
      </c>
      <c r="CB32" s="152">
        <f t="shared" si="68"/>
        <v>6837445510.0433006</v>
      </c>
      <c r="CC32" s="152">
        <f t="shared" si="68"/>
        <v>7415139689.4544802</v>
      </c>
      <c r="CD32" s="156">
        <f t="shared" ref="CD32:CM32" si="69">SUM(CD33:CD35)</f>
        <v>8050186833.0271196</v>
      </c>
      <c r="CE32" s="157">
        <f t="shared" si="69"/>
        <v>308940503.50099981</v>
      </c>
      <c r="CF32" s="152">
        <f t="shared" si="69"/>
        <v>477850542.31104988</v>
      </c>
      <c r="CG32" s="152">
        <f t="shared" si="69"/>
        <v>679231254.42510271</v>
      </c>
      <c r="CH32" s="152">
        <f t="shared" si="69"/>
        <v>908430475.44470811</v>
      </c>
      <c r="CI32" s="152">
        <f t="shared" si="69"/>
        <v>1168599017.7451286</v>
      </c>
      <c r="CJ32" s="152">
        <f t="shared" si="69"/>
        <v>1472596877.8133888</v>
      </c>
      <c r="CK32" s="152">
        <f t="shared" si="69"/>
        <v>1796152609.8031621</v>
      </c>
      <c r="CL32" s="152">
        <f t="shared" si="69"/>
        <v>2171651184.2023344</v>
      </c>
      <c r="CM32" s="152">
        <f t="shared" si="69"/>
        <v>2594425682.5123663</v>
      </c>
      <c r="CN32" s="156">
        <f>SUM(CE32:CM32)</f>
        <v>11577878147.75824</v>
      </c>
      <c r="CO32" s="158"/>
      <c r="CP32" s="160">
        <f>SUM(CP33:CP35)</f>
        <v>90000</v>
      </c>
      <c r="CQ32" s="145"/>
      <c r="CR32" s="145"/>
      <c r="CS32" s="145"/>
      <c r="CT32" s="145"/>
      <c r="CU32" s="145"/>
      <c r="CV32" s="152">
        <f>SUM(CV33:CV35)</f>
        <v>11528378147.75824</v>
      </c>
      <c r="CW32" s="151"/>
      <c r="CX32" s="162"/>
    </row>
    <row r="33" spans="1:102" ht="48" customHeight="1" x14ac:dyDescent="0.25">
      <c r="A33" s="204" t="s">
        <v>30</v>
      </c>
      <c r="B33" s="362"/>
      <c r="C33" s="450" t="s">
        <v>365</v>
      </c>
      <c r="D33" s="451" t="s">
        <v>689</v>
      </c>
      <c r="E33" s="48" t="s">
        <v>4</v>
      </c>
      <c r="F33" s="48" t="s">
        <v>407</v>
      </c>
      <c r="G33" s="48" t="s">
        <v>395</v>
      </c>
      <c r="H33" s="455" t="s">
        <v>108</v>
      </c>
      <c r="I33" s="547" t="s">
        <v>246</v>
      </c>
      <c r="J33" s="548" t="s">
        <v>229</v>
      </c>
      <c r="K33" s="206"/>
      <c r="L33" s="207"/>
      <c r="M33" s="208"/>
      <c r="O33" s="204" t="s">
        <v>365</v>
      </c>
      <c r="P33" s="47" t="s">
        <v>4</v>
      </c>
      <c r="Q33" s="48" t="s">
        <v>407</v>
      </c>
      <c r="R33" s="50" t="s">
        <v>314</v>
      </c>
      <c r="S33" s="48" t="s">
        <v>314</v>
      </c>
      <c r="T33" s="48" t="s">
        <v>314</v>
      </c>
      <c r="U33" s="48" t="s">
        <v>314</v>
      </c>
      <c r="V33" s="48" t="s">
        <v>314</v>
      </c>
      <c r="W33" s="50"/>
      <c r="X33" s="50" t="s">
        <v>307</v>
      </c>
      <c r="Y33" s="50"/>
      <c r="Z33" s="50"/>
      <c r="AA33" s="50"/>
      <c r="AB33" s="50"/>
      <c r="AC33" s="50"/>
      <c r="AD33" s="50"/>
      <c r="AE33" s="50"/>
      <c r="AF33" s="259"/>
      <c r="AG33" s="47" t="s">
        <v>362</v>
      </c>
      <c r="AH33" s="210" t="s">
        <v>319</v>
      </c>
      <c r="AI33" s="68" t="s">
        <v>371</v>
      </c>
      <c r="AJ33" s="436">
        <v>25</v>
      </c>
      <c r="AK33" s="436">
        <v>25</v>
      </c>
      <c r="AL33" s="436">
        <v>25</v>
      </c>
      <c r="AM33" s="436">
        <v>25</v>
      </c>
      <c r="AN33" s="436">
        <v>25</v>
      </c>
      <c r="AO33" s="436">
        <v>25</v>
      </c>
      <c r="AP33" s="436">
        <v>25</v>
      </c>
      <c r="AQ33" s="436">
        <v>25</v>
      </c>
      <c r="AR33" s="436">
        <v>25</v>
      </c>
      <c r="AS33" s="436">
        <v>25</v>
      </c>
      <c r="AT33" s="436">
        <v>23</v>
      </c>
      <c r="AU33" s="436">
        <v>21</v>
      </c>
      <c r="AV33" s="436">
        <v>20</v>
      </c>
      <c r="AW33" s="436">
        <v>18</v>
      </c>
      <c r="AX33" s="436">
        <v>17</v>
      </c>
      <c r="AY33" s="436">
        <v>15</v>
      </c>
      <c r="AZ33" s="436">
        <v>15</v>
      </c>
      <c r="BA33" s="436">
        <v>15</v>
      </c>
      <c r="BB33" s="48">
        <v>15</v>
      </c>
      <c r="BC33" s="94">
        <v>15</v>
      </c>
      <c r="BD33" s="206" t="s">
        <v>330</v>
      </c>
      <c r="BE33" s="68" t="s">
        <v>349</v>
      </c>
      <c r="BF33" s="48" t="s">
        <v>323</v>
      </c>
      <c r="BG33" s="269">
        <f>BH33-(BH33*0.2)</f>
        <v>2353020125.5999999</v>
      </c>
      <c r="BH33" s="212">
        <v>2941275157</v>
      </c>
      <c r="BI33" s="170">
        <v>3072916314.8499999</v>
      </c>
      <c r="BJ33" s="170">
        <v>3226856790.5924997</v>
      </c>
      <c r="BK33" s="170">
        <v>3388461550.1221247</v>
      </c>
      <c r="BL33" s="170">
        <v>3558113807.628231</v>
      </c>
      <c r="BM33" s="170">
        <v>3754965938.0096426</v>
      </c>
      <c r="BN33" s="170">
        <v>3923190434.9101248</v>
      </c>
      <c r="BO33" s="170">
        <v>4119480916.6556311</v>
      </c>
      <c r="BP33" s="170">
        <v>4325553182.4884129</v>
      </c>
      <c r="BQ33" s="213">
        <f t="shared" si="59"/>
        <v>32310814092.256668</v>
      </c>
      <c r="BR33" s="276">
        <v>0.9</v>
      </c>
      <c r="BS33" s="170"/>
      <c r="BT33" s="277">
        <v>0.1</v>
      </c>
      <c r="BU33" s="213"/>
      <c r="BV33" s="212">
        <v>3241402672.6999998</v>
      </c>
      <c r="BW33" s="170">
        <v>3541513219.9699998</v>
      </c>
      <c r="BX33" s="170">
        <v>3896371725.967</v>
      </c>
      <c r="BY33" s="170">
        <v>4286689890.5637002</v>
      </c>
      <c r="BZ33" s="170">
        <v>4716000583.6200705</v>
      </c>
      <c r="CA33" s="170">
        <v>5216314961.9820776</v>
      </c>
      <c r="CB33" s="170">
        <v>5707532798.1802855</v>
      </c>
      <c r="CC33" s="170">
        <v>6278731341.9983139</v>
      </c>
      <c r="CD33" s="213">
        <v>6906958068.1981449</v>
      </c>
      <c r="CE33" s="212">
        <f>BV33-BH33</f>
        <v>300127515.69999981</v>
      </c>
      <c r="CF33" s="170">
        <f t="shared" ref="CF33:CM34" si="70">BW33-BI33</f>
        <v>468596905.11999989</v>
      </c>
      <c r="CG33" s="170">
        <f t="shared" si="70"/>
        <v>669514935.37450027</v>
      </c>
      <c r="CH33" s="170">
        <f t="shared" si="70"/>
        <v>898228340.44157553</v>
      </c>
      <c r="CI33" s="170">
        <f t="shared" si="70"/>
        <v>1157886775.9918394</v>
      </c>
      <c r="CJ33" s="170">
        <f t="shared" si="70"/>
        <v>1461349023.972435</v>
      </c>
      <c r="CK33" s="170">
        <f t="shared" si="70"/>
        <v>1784342363.2701607</v>
      </c>
      <c r="CL33" s="170">
        <f t="shared" si="70"/>
        <v>2159250425.3426828</v>
      </c>
      <c r="CM33" s="170">
        <f t="shared" si="70"/>
        <v>2581404885.7097321</v>
      </c>
      <c r="CN33" s="213">
        <f>SUM(CE33:CM33)</f>
        <v>11480701170.922924</v>
      </c>
      <c r="CO33" s="219"/>
      <c r="CP33" s="220">
        <v>15000</v>
      </c>
      <c r="CQ33" s="220" t="s">
        <v>363</v>
      </c>
      <c r="CR33" s="210"/>
      <c r="CS33" s="210"/>
      <c r="CT33" s="210"/>
      <c r="CU33" s="210"/>
      <c r="CV33" s="221">
        <f>+CN33-CP33*550</f>
        <v>11472451170.922924</v>
      </c>
      <c r="CW33" s="222"/>
      <c r="CX33" s="278"/>
    </row>
    <row r="34" spans="1:102" ht="25.5" customHeight="1" x14ac:dyDescent="0.25">
      <c r="A34" s="163" t="s">
        <v>31</v>
      </c>
      <c r="B34" s="362"/>
      <c r="C34" s="450" t="s">
        <v>366</v>
      </c>
      <c r="D34" s="451" t="s">
        <v>690</v>
      </c>
      <c r="E34" s="48" t="s">
        <v>4</v>
      </c>
      <c r="F34" s="48" t="s">
        <v>407</v>
      </c>
      <c r="G34" s="48" t="s">
        <v>395</v>
      </c>
      <c r="H34" s="455" t="s">
        <v>109</v>
      </c>
      <c r="I34" s="547" t="s">
        <v>246</v>
      </c>
      <c r="J34" s="548" t="s">
        <v>229</v>
      </c>
      <c r="K34" s="165"/>
      <c r="L34" s="166"/>
      <c r="M34" s="167"/>
      <c r="O34" s="204" t="s">
        <v>366</v>
      </c>
      <c r="P34" s="47" t="s">
        <v>4</v>
      </c>
      <c r="Q34" s="48" t="s">
        <v>407</v>
      </c>
      <c r="R34" s="50" t="s">
        <v>314</v>
      </c>
      <c r="S34" s="50" t="s">
        <v>314</v>
      </c>
      <c r="T34" s="50"/>
      <c r="U34" s="50" t="s">
        <v>314</v>
      </c>
      <c r="V34" s="50"/>
      <c r="W34" s="50" t="s">
        <v>314</v>
      </c>
      <c r="X34" s="50" t="s">
        <v>307</v>
      </c>
      <c r="Y34" s="50"/>
      <c r="Z34" s="50"/>
      <c r="AA34" s="50"/>
      <c r="AB34" s="50"/>
      <c r="AC34" s="50"/>
      <c r="AD34" s="50"/>
      <c r="AE34" s="50"/>
      <c r="AF34" s="259"/>
      <c r="AG34" s="47" t="s">
        <v>315</v>
      </c>
      <c r="AH34" s="210" t="s">
        <v>319</v>
      </c>
      <c r="AI34" s="68" t="s">
        <v>372</v>
      </c>
      <c r="AJ34" s="436">
        <v>70</v>
      </c>
      <c r="AK34" s="436">
        <v>70</v>
      </c>
      <c r="AL34" s="436">
        <v>70</v>
      </c>
      <c r="AM34" s="436">
        <v>75</v>
      </c>
      <c r="AN34" s="436">
        <v>75</v>
      </c>
      <c r="AO34" s="436">
        <v>75</v>
      </c>
      <c r="AP34" s="436">
        <v>75</v>
      </c>
      <c r="AQ34" s="436">
        <v>80</v>
      </c>
      <c r="AR34" s="436">
        <v>80</v>
      </c>
      <c r="AS34" s="436">
        <v>80</v>
      </c>
      <c r="AT34" s="436">
        <v>90</v>
      </c>
      <c r="AU34" s="436">
        <v>90</v>
      </c>
      <c r="AV34" s="436">
        <v>90</v>
      </c>
      <c r="AW34" s="436">
        <v>90</v>
      </c>
      <c r="AX34" s="436">
        <v>90</v>
      </c>
      <c r="AY34" s="436">
        <v>90</v>
      </c>
      <c r="AZ34" s="436">
        <v>90</v>
      </c>
      <c r="BA34" s="436">
        <v>90</v>
      </c>
      <c r="BB34" s="48">
        <v>90</v>
      </c>
      <c r="BC34" s="94">
        <v>90</v>
      </c>
      <c r="BD34" s="206" t="s">
        <v>330</v>
      </c>
      <c r="BE34" s="68" t="s">
        <v>349</v>
      </c>
      <c r="BF34" s="48" t="s">
        <v>323</v>
      </c>
      <c r="BG34" s="269">
        <v>88129878.010000005</v>
      </c>
      <c r="BH34" s="212">
        <v>88129878.010000005</v>
      </c>
      <c r="BI34" s="170">
        <v>92536371.910500005</v>
      </c>
      <c r="BJ34" s="170">
        <v>97163190.506025001</v>
      </c>
      <c r="BK34" s="170">
        <v>102021350.03132625</v>
      </c>
      <c r="BL34" s="170">
        <v>107122417.53289255</v>
      </c>
      <c r="BM34" s="170">
        <v>112478538.40953718</v>
      </c>
      <c r="BN34" s="170">
        <v>118102465.33001404</v>
      </c>
      <c r="BO34" s="170">
        <v>124007588.59651473</v>
      </c>
      <c r="BP34" s="170">
        <v>130207968.02634047</v>
      </c>
      <c r="BQ34" s="213">
        <f t="shared" si="59"/>
        <v>971769768.35315013</v>
      </c>
      <c r="BR34" s="212">
        <v>0</v>
      </c>
      <c r="BS34" s="170"/>
      <c r="BT34" s="277">
        <v>1</v>
      </c>
      <c r="BU34" s="213"/>
      <c r="BV34" s="212">
        <v>96942865.811000004</v>
      </c>
      <c r="BW34" s="170">
        <v>101790009.10155001</v>
      </c>
      <c r="BX34" s="170">
        <v>106879509.5566275</v>
      </c>
      <c r="BY34" s="170">
        <v>112223485.03445888</v>
      </c>
      <c r="BZ34" s="170">
        <v>117834659.28618181</v>
      </c>
      <c r="CA34" s="170">
        <v>123726392.2504909</v>
      </c>
      <c r="CB34" s="170">
        <v>129912711.86301544</v>
      </c>
      <c r="CC34" s="170">
        <v>136408347.45616621</v>
      </c>
      <c r="CD34" s="213">
        <v>143228764.82897452</v>
      </c>
      <c r="CE34" s="212">
        <f>BV34-BH34</f>
        <v>8812987.800999999</v>
      </c>
      <c r="CF34" s="170">
        <f t="shared" si="70"/>
        <v>9253637.1910500079</v>
      </c>
      <c r="CG34" s="170">
        <f t="shared" si="70"/>
        <v>9716319.0506024957</v>
      </c>
      <c r="CH34" s="170">
        <f t="shared" si="70"/>
        <v>10202135.003132626</v>
      </c>
      <c r="CI34" s="170">
        <f t="shared" si="70"/>
        <v>10712241.753289253</v>
      </c>
      <c r="CJ34" s="170">
        <f t="shared" si="70"/>
        <v>11247853.840953723</v>
      </c>
      <c r="CK34" s="170">
        <f t="shared" si="70"/>
        <v>11810246.533001408</v>
      </c>
      <c r="CL34" s="170">
        <f t="shared" si="70"/>
        <v>12400758.859651476</v>
      </c>
      <c r="CM34" s="170">
        <f t="shared" si="70"/>
        <v>13020796.802634045</v>
      </c>
      <c r="CN34" s="213">
        <f>SUM(CE34:CM34)</f>
        <v>97176976.835315034</v>
      </c>
      <c r="CO34" s="219"/>
      <c r="CP34" s="220">
        <v>75000</v>
      </c>
      <c r="CQ34" s="220" t="s">
        <v>364</v>
      </c>
      <c r="CR34" s="210"/>
      <c r="CS34" s="210"/>
      <c r="CT34" s="210"/>
      <c r="CU34" s="210"/>
      <c r="CV34" s="221">
        <f>+CN34-CP34*550</f>
        <v>55926976.835315034</v>
      </c>
      <c r="CW34" s="222"/>
      <c r="CX34" s="246"/>
    </row>
    <row r="35" spans="1:102" ht="25.5" customHeight="1" thickBot="1" x14ac:dyDescent="0.3">
      <c r="A35" s="279" t="s">
        <v>98</v>
      </c>
      <c r="B35" s="365"/>
      <c r="C35" s="466" t="s">
        <v>392</v>
      </c>
      <c r="D35" s="426" t="s">
        <v>691</v>
      </c>
      <c r="E35" s="467" t="s">
        <v>4</v>
      </c>
      <c r="F35" s="467" t="s">
        <v>406</v>
      </c>
      <c r="G35" s="467" t="s">
        <v>63</v>
      </c>
      <c r="H35" s="468" t="s">
        <v>140</v>
      </c>
      <c r="I35" s="547" t="s">
        <v>245</v>
      </c>
      <c r="J35" s="548" t="s">
        <v>236</v>
      </c>
      <c r="K35" s="206" t="s">
        <v>258</v>
      </c>
      <c r="L35" s="207"/>
      <c r="M35" s="208"/>
      <c r="O35" s="279" t="s">
        <v>392</v>
      </c>
      <c r="P35" s="47" t="s">
        <v>4</v>
      </c>
      <c r="Q35" s="48" t="s">
        <v>406</v>
      </c>
      <c r="R35" s="48" t="s">
        <v>314</v>
      </c>
      <c r="S35" s="48"/>
      <c r="T35" s="48" t="s">
        <v>314</v>
      </c>
      <c r="U35" s="48"/>
      <c r="V35" s="48"/>
      <c r="W35" s="48"/>
      <c r="X35" s="48" t="s">
        <v>307</v>
      </c>
      <c r="Y35" s="48"/>
      <c r="Z35" s="48"/>
      <c r="AA35" s="48"/>
      <c r="AB35" s="48"/>
      <c r="AC35" s="48"/>
      <c r="AD35" s="48"/>
      <c r="AE35" s="48"/>
      <c r="AF35" s="209"/>
      <c r="AG35" s="47" t="s">
        <v>315</v>
      </c>
      <c r="AH35" s="210" t="s">
        <v>309</v>
      </c>
      <c r="AI35" s="68" t="s">
        <v>384</v>
      </c>
      <c r="AJ35" s="437">
        <v>0</v>
      </c>
      <c r="AK35" s="437">
        <v>0</v>
      </c>
      <c r="AL35" s="437">
        <v>0</v>
      </c>
      <c r="AM35" s="437">
        <v>0</v>
      </c>
      <c r="AN35" s="437">
        <v>0</v>
      </c>
      <c r="AO35" s="437">
        <v>0</v>
      </c>
      <c r="AP35" s="437">
        <v>0</v>
      </c>
      <c r="AQ35" s="437">
        <v>0</v>
      </c>
      <c r="AR35" s="437">
        <v>0</v>
      </c>
      <c r="AS35" s="437">
        <v>0</v>
      </c>
      <c r="AT35" s="437">
        <v>0</v>
      </c>
      <c r="AU35" s="437">
        <v>0</v>
      </c>
      <c r="AV35" s="437">
        <v>0</v>
      </c>
      <c r="AW35" s="437">
        <v>0</v>
      </c>
      <c r="AX35" s="437">
        <v>0</v>
      </c>
      <c r="AY35" s="437">
        <v>0</v>
      </c>
      <c r="AZ35" s="437">
        <v>0</v>
      </c>
      <c r="BA35" s="437">
        <v>0</v>
      </c>
      <c r="BB35" s="284"/>
      <c r="BC35" s="284"/>
      <c r="BD35" s="206" t="s">
        <v>4</v>
      </c>
      <c r="BE35" s="257" t="s">
        <v>312</v>
      </c>
      <c r="BF35" s="48" t="s">
        <v>323</v>
      </c>
      <c r="BG35" s="252">
        <v>1000000000</v>
      </c>
      <c r="BH35" s="212">
        <v>1000000000</v>
      </c>
      <c r="BI35" s="170">
        <v>1000000000</v>
      </c>
      <c r="BJ35" s="170">
        <v>1000000000</v>
      </c>
      <c r="BK35" s="170">
        <v>1000000000</v>
      </c>
      <c r="BL35" s="170">
        <v>1000000000</v>
      </c>
      <c r="BM35" s="170">
        <v>1000000000</v>
      </c>
      <c r="BN35" s="170">
        <v>1000000000</v>
      </c>
      <c r="BO35" s="170">
        <v>1000000000</v>
      </c>
      <c r="BP35" s="170">
        <v>1000000000</v>
      </c>
      <c r="BQ35" s="213">
        <v>9000000000</v>
      </c>
      <c r="BR35" s="285">
        <v>1</v>
      </c>
      <c r="BS35" s="48"/>
      <c r="BT35" s="48"/>
      <c r="BU35" s="216"/>
      <c r="BV35" s="212">
        <v>1000000000</v>
      </c>
      <c r="BW35" s="170">
        <v>1000000000</v>
      </c>
      <c r="BX35" s="170">
        <v>1000000000</v>
      </c>
      <c r="BY35" s="170">
        <v>1000000000</v>
      </c>
      <c r="BZ35" s="170">
        <v>1000000000</v>
      </c>
      <c r="CA35" s="170">
        <v>1000000000</v>
      </c>
      <c r="CB35" s="170">
        <v>1000000000</v>
      </c>
      <c r="CC35" s="170">
        <v>1000000000</v>
      </c>
      <c r="CD35" s="213">
        <v>1000000000</v>
      </c>
      <c r="CE35" s="217">
        <f>+BV35-BH35</f>
        <v>0</v>
      </c>
      <c r="CF35" s="217">
        <f t="shared" ref="CF35:CM35" si="71">+BW35-BI35</f>
        <v>0</v>
      </c>
      <c r="CG35" s="217">
        <f t="shared" si="71"/>
        <v>0</v>
      </c>
      <c r="CH35" s="217">
        <f t="shared" si="71"/>
        <v>0</v>
      </c>
      <c r="CI35" s="217">
        <f t="shared" si="71"/>
        <v>0</v>
      </c>
      <c r="CJ35" s="217">
        <f t="shared" si="71"/>
        <v>0</v>
      </c>
      <c r="CK35" s="217">
        <f t="shared" si="71"/>
        <v>0</v>
      </c>
      <c r="CL35" s="217">
        <f t="shared" si="71"/>
        <v>0</v>
      </c>
      <c r="CM35" s="217">
        <f t="shared" si="71"/>
        <v>0</v>
      </c>
      <c r="CN35" s="218">
        <f>+CD35-BP35</f>
        <v>0</v>
      </c>
      <c r="CO35" s="219"/>
      <c r="CP35" s="220"/>
      <c r="CQ35" s="220"/>
      <c r="CR35" s="210"/>
      <c r="CS35" s="210"/>
      <c r="CT35" s="210"/>
      <c r="CU35" s="210"/>
      <c r="CV35" s="221">
        <f>+CN35-CP35*550</f>
        <v>0</v>
      </c>
      <c r="CW35" s="222"/>
      <c r="CX35" s="246"/>
    </row>
    <row r="36" spans="1:102" ht="26.1" hidden="1" customHeight="1" x14ac:dyDescent="0.25">
      <c r="A36" s="123" t="s">
        <v>32</v>
      </c>
      <c r="B36" s="359"/>
      <c r="C36" s="461" t="s">
        <v>32</v>
      </c>
      <c r="D36" s="462" t="s">
        <v>692</v>
      </c>
      <c r="E36" s="463"/>
      <c r="F36" s="464"/>
      <c r="G36" s="463"/>
      <c r="H36" s="465"/>
      <c r="I36" s="553"/>
      <c r="J36" s="554"/>
      <c r="K36" s="128"/>
      <c r="L36" s="129"/>
      <c r="M36" s="130"/>
      <c r="O36" s="123" t="s">
        <v>32</v>
      </c>
      <c r="P36" s="131"/>
      <c r="Q36" s="126"/>
      <c r="R36" s="126"/>
      <c r="S36" s="126"/>
      <c r="T36" s="126"/>
      <c r="U36" s="126"/>
      <c r="V36" s="126"/>
      <c r="W36" s="126"/>
      <c r="X36" s="126"/>
      <c r="Y36" s="126"/>
      <c r="Z36" s="126"/>
      <c r="AA36" s="126"/>
      <c r="AB36" s="126"/>
      <c r="AC36" s="126"/>
      <c r="AD36" s="126"/>
      <c r="AE36" s="126"/>
      <c r="AF36" s="132"/>
      <c r="AG36" s="131"/>
      <c r="AH36" s="126"/>
      <c r="AI36" s="126"/>
      <c r="AJ36" s="133"/>
      <c r="AK36" s="133"/>
      <c r="AL36" s="133"/>
      <c r="AM36" s="133"/>
      <c r="AN36" s="133"/>
      <c r="AO36" s="133"/>
      <c r="AP36" s="133"/>
      <c r="AQ36" s="133"/>
      <c r="AR36" s="133"/>
      <c r="AS36" s="133"/>
      <c r="AT36" s="133"/>
      <c r="AU36" s="133"/>
      <c r="AV36" s="133"/>
      <c r="AW36" s="133"/>
      <c r="AX36" s="133"/>
      <c r="AY36" s="133"/>
      <c r="AZ36" s="133"/>
      <c r="BA36" s="133"/>
      <c r="BB36" s="133"/>
      <c r="BC36" s="263"/>
      <c r="BD36" s="131"/>
      <c r="BE36" s="126"/>
      <c r="BF36" s="134"/>
      <c r="BG36" s="135">
        <f t="shared" ref="BG36:BP36" si="72">+BG37+BG41+BG52</f>
        <v>17663552041.885002</v>
      </c>
      <c r="BH36" s="136">
        <f t="shared" si="72"/>
        <v>18569649759.088711</v>
      </c>
      <c r="BI36" s="133">
        <f t="shared" si="72"/>
        <v>24883177837.660007</v>
      </c>
      <c r="BJ36" s="133">
        <f t="shared" si="72"/>
        <v>20273816940.507732</v>
      </c>
      <c r="BK36" s="133">
        <f t="shared" si="72"/>
        <v>21634375691.518124</v>
      </c>
      <c r="BL36" s="133">
        <f t="shared" si="72"/>
        <v>21586313714.520939</v>
      </c>
      <c r="BM36" s="133">
        <f t="shared" si="72"/>
        <v>21752665477.34457</v>
      </c>
      <c r="BN36" s="133">
        <f t="shared" si="72"/>
        <v>22861982653.311893</v>
      </c>
      <c r="BO36" s="133">
        <f t="shared" si="72"/>
        <v>23993457747.515949</v>
      </c>
      <c r="BP36" s="133">
        <f t="shared" si="72"/>
        <v>25181506596.43021</v>
      </c>
      <c r="BQ36" s="137">
        <f>SUM(BH36:BP36)</f>
        <v>200736946417.89816</v>
      </c>
      <c r="BR36" s="138"/>
      <c r="BS36" s="126"/>
      <c r="BT36" s="126"/>
      <c r="BU36" s="139"/>
      <c r="BV36" s="136">
        <f t="shared" ref="BV36:CM36" si="73">+BV37+BV41+BV52</f>
        <v>27850568530.21426</v>
      </c>
      <c r="BW36" s="133">
        <f t="shared" si="73"/>
        <v>35462628754.67379</v>
      </c>
      <c r="BX36" s="133">
        <f t="shared" si="73"/>
        <v>32686852338.337914</v>
      </c>
      <c r="BY36" s="133">
        <f t="shared" si="73"/>
        <v>34909748377.612007</v>
      </c>
      <c r="BZ36" s="133">
        <f t="shared" si="73"/>
        <v>35748523688.878426</v>
      </c>
      <c r="CA36" s="133">
        <f t="shared" si="73"/>
        <v>37335912739.965752</v>
      </c>
      <c r="CB36" s="133">
        <f t="shared" si="73"/>
        <v>38793167204.196777</v>
      </c>
      <c r="CC36" s="133">
        <f t="shared" si="73"/>
        <v>40245279586.664528</v>
      </c>
      <c r="CD36" s="137">
        <f t="shared" si="73"/>
        <v>42878365723.842491</v>
      </c>
      <c r="CE36" s="136">
        <f t="shared" si="73"/>
        <v>9280918771.1255455</v>
      </c>
      <c r="CF36" s="133">
        <f t="shared" si="73"/>
        <v>10579450917.013784</v>
      </c>
      <c r="CG36" s="133">
        <f t="shared" si="73"/>
        <v>12413035397.830183</v>
      </c>
      <c r="CH36" s="133">
        <f t="shared" si="73"/>
        <v>13275372686.093885</v>
      </c>
      <c r="CI36" s="133">
        <f t="shared" si="73"/>
        <v>14162209974.357489</v>
      </c>
      <c r="CJ36" s="133">
        <f t="shared" si="73"/>
        <v>15583247262.621183</v>
      </c>
      <c r="CK36" s="133">
        <f t="shared" si="73"/>
        <v>15931184550.884886</v>
      </c>
      <c r="CL36" s="133">
        <f t="shared" si="73"/>
        <v>16251821839.148581</v>
      </c>
      <c r="CM36" s="133">
        <f t="shared" si="73"/>
        <v>17696859127.412281</v>
      </c>
      <c r="CN36" s="137">
        <f>SUM(CE36:CM36)</f>
        <v>125174100526.48781</v>
      </c>
      <c r="CO36" s="138"/>
      <c r="CP36" s="140">
        <f>+CP37+CP41+CP52</f>
        <v>553300</v>
      </c>
      <c r="CQ36" s="126"/>
      <c r="CR36" s="126"/>
      <c r="CS36" s="126"/>
      <c r="CT36" s="126"/>
      <c r="CU36" s="126"/>
      <c r="CV36" s="141">
        <f>+CV37+CV41+CV52</f>
        <v>124869785526.48782</v>
      </c>
      <c r="CW36" s="132"/>
      <c r="CX36" s="142"/>
    </row>
    <row r="37" spans="1:102" ht="26.1" hidden="1" customHeight="1" x14ac:dyDescent="0.25">
      <c r="A37" s="286" t="s">
        <v>33</v>
      </c>
      <c r="B37" s="359"/>
      <c r="C37" s="457" t="s">
        <v>33</v>
      </c>
      <c r="D37" s="65" t="s">
        <v>693</v>
      </c>
      <c r="E37" s="64" t="s">
        <v>3</v>
      </c>
      <c r="F37" s="288"/>
      <c r="G37" s="64"/>
      <c r="H37" s="458"/>
      <c r="I37" s="555"/>
      <c r="J37" s="556"/>
      <c r="K37" s="289"/>
      <c r="L37" s="290"/>
      <c r="M37" s="291"/>
      <c r="O37" s="286" t="s">
        <v>33</v>
      </c>
      <c r="P37" s="292"/>
      <c r="Q37" s="288"/>
      <c r="R37" s="288"/>
      <c r="S37" s="288"/>
      <c r="T37" s="288"/>
      <c r="U37" s="288"/>
      <c r="V37" s="288"/>
      <c r="W37" s="288"/>
      <c r="X37" s="288"/>
      <c r="Y37" s="288"/>
      <c r="Z37" s="288"/>
      <c r="AA37" s="288"/>
      <c r="AB37" s="288"/>
      <c r="AC37" s="288"/>
      <c r="AD37" s="288"/>
      <c r="AE37" s="288"/>
      <c r="AF37" s="293"/>
      <c r="AG37" s="292"/>
      <c r="AH37" s="288"/>
      <c r="AI37" s="288"/>
      <c r="AJ37" s="294"/>
      <c r="AK37" s="294"/>
      <c r="AL37" s="294"/>
      <c r="AM37" s="294"/>
      <c r="AN37" s="294"/>
      <c r="AO37" s="294"/>
      <c r="AP37" s="294"/>
      <c r="AQ37" s="294"/>
      <c r="AR37" s="294"/>
      <c r="AS37" s="294"/>
      <c r="AT37" s="294"/>
      <c r="AU37" s="294"/>
      <c r="AV37" s="294"/>
      <c r="AW37" s="294"/>
      <c r="AX37" s="294"/>
      <c r="AY37" s="294"/>
      <c r="AZ37" s="294"/>
      <c r="BA37" s="294"/>
      <c r="BB37" s="294"/>
      <c r="BC37" s="295"/>
      <c r="BD37" s="292"/>
      <c r="BE37" s="288"/>
      <c r="BF37" s="296"/>
      <c r="BG37" s="297">
        <f t="shared" ref="BG37:BP37" si="74">+BG39+BG38</f>
        <v>17583152041.885002</v>
      </c>
      <c r="BH37" s="298">
        <f t="shared" si="74"/>
        <v>18398311297.550251</v>
      </c>
      <c r="BI37" s="294">
        <f t="shared" si="74"/>
        <v>24647547068.429237</v>
      </c>
      <c r="BJ37" s="294">
        <f t="shared" si="74"/>
        <v>20038036171.276962</v>
      </c>
      <c r="BK37" s="294">
        <f t="shared" si="74"/>
        <v>21398594922.287354</v>
      </c>
      <c r="BL37" s="294">
        <f t="shared" si="74"/>
        <v>21350532945.290169</v>
      </c>
      <c r="BM37" s="294">
        <f t="shared" si="74"/>
        <v>21516884708.1138</v>
      </c>
      <c r="BN37" s="294">
        <f t="shared" si="74"/>
        <v>22629501884.081123</v>
      </c>
      <c r="BO37" s="294">
        <f t="shared" si="74"/>
        <v>23760976978.285179</v>
      </c>
      <c r="BP37" s="294">
        <f t="shared" si="74"/>
        <v>24949025827.19944</v>
      </c>
      <c r="BQ37" s="299">
        <f>SUM(BH37:BP37)</f>
        <v>198689411802.51352</v>
      </c>
      <c r="BR37" s="300"/>
      <c r="BS37" s="288"/>
      <c r="BT37" s="288"/>
      <c r="BU37" s="301"/>
      <c r="BV37" s="298">
        <f t="shared" ref="BV37:CM37" si="75">+BV39+BV38</f>
        <v>27462433914.829643</v>
      </c>
      <c r="BW37" s="294">
        <f t="shared" si="75"/>
        <v>34926357600.827637</v>
      </c>
      <c r="BX37" s="294">
        <f t="shared" si="75"/>
        <v>32147581184.49176</v>
      </c>
      <c r="BY37" s="294">
        <f t="shared" si="75"/>
        <v>34390977223.765854</v>
      </c>
      <c r="BZ37" s="294">
        <f t="shared" si="75"/>
        <v>35225752535.032272</v>
      </c>
      <c r="CA37" s="294">
        <f t="shared" si="75"/>
        <v>36825141586.119598</v>
      </c>
      <c r="CB37" s="294">
        <f t="shared" si="75"/>
        <v>38270396050.350624</v>
      </c>
      <c r="CC37" s="294">
        <f t="shared" si="75"/>
        <v>39734508432.818375</v>
      </c>
      <c r="CD37" s="299">
        <f t="shared" si="75"/>
        <v>42355594569.996338</v>
      </c>
      <c r="CE37" s="298">
        <f t="shared" si="75"/>
        <v>9064122617.2793922</v>
      </c>
      <c r="CF37" s="294">
        <f t="shared" si="75"/>
        <v>10278810532.398399</v>
      </c>
      <c r="CG37" s="294">
        <f t="shared" si="75"/>
        <v>12109545013.214798</v>
      </c>
      <c r="CH37" s="294">
        <f t="shared" si="75"/>
        <v>12992382301.4785</v>
      </c>
      <c r="CI37" s="294">
        <f t="shared" si="75"/>
        <v>13875219589.742104</v>
      </c>
      <c r="CJ37" s="294">
        <f t="shared" si="75"/>
        <v>15308256878.005798</v>
      </c>
      <c r="CK37" s="294">
        <f t="shared" si="75"/>
        <v>15640894166.269501</v>
      </c>
      <c r="CL37" s="294">
        <f t="shared" si="75"/>
        <v>15973531454.533195</v>
      </c>
      <c r="CM37" s="294">
        <f t="shared" si="75"/>
        <v>17406568742.796898</v>
      </c>
      <c r="CN37" s="299">
        <f>SUM(CE37:CM37)</f>
        <v>122649331295.7186</v>
      </c>
      <c r="CO37" s="300"/>
      <c r="CP37" s="302">
        <f>+CP39+CP38</f>
        <v>454300</v>
      </c>
      <c r="CQ37" s="288"/>
      <c r="CR37" s="288"/>
      <c r="CS37" s="288"/>
      <c r="CT37" s="288"/>
      <c r="CU37" s="288"/>
      <c r="CV37" s="303">
        <f>+CV39</f>
        <v>122399466295.7186</v>
      </c>
      <c r="CW37" s="293"/>
      <c r="CX37" s="304"/>
    </row>
    <row r="38" spans="1:102" ht="26.1" hidden="1" customHeight="1" x14ac:dyDescent="0.25">
      <c r="A38" s="143" t="s">
        <v>36</v>
      </c>
      <c r="B38" s="360"/>
      <c r="C38" s="447" t="s">
        <v>36</v>
      </c>
      <c r="D38" s="154" t="s">
        <v>694</v>
      </c>
      <c r="E38" s="448" t="s">
        <v>3</v>
      </c>
      <c r="F38" s="145"/>
      <c r="G38" s="60"/>
      <c r="H38" s="453"/>
      <c r="I38" s="549"/>
      <c r="J38" s="550"/>
      <c r="K38" s="147" t="s">
        <v>254</v>
      </c>
      <c r="L38" s="148" t="s">
        <v>255</v>
      </c>
      <c r="M38" s="149" t="s">
        <v>256</v>
      </c>
      <c r="O38" s="143" t="s">
        <v>36</v>
      </c>
      <c r="P38" s="150"/>
      <c r="Q38" s="145"/>
      <c r="R38" s="145"/>
      <c r="S38" s="145"/>
      <c r="T38" s="145"/>
      <c r="U38" s="145"/>
      <c r="V38" s="145"/>
      <c r="W38" s="145"/>
      <c r="X38" s="145"/>
      <c r="Y38" s="145"/>
      <c r="Z38" s="145"/>
      <c r="AA38" s="145"/>
      <c r="AB38" s="145"/>
      <c r="AC38" s="145"/>
      <c r="AD38" s="145"/>
      <c r="AE38" s="145"/>
      <c r="AF38" s="151"/>
      <c r="AG38" s="150"/>
      <c r="AH38" s="145"/>
      <c r="AI38" s="145"/>
      <c r="AJ38" s="152"/>
      <c r="AK38" s="152"/>
      <c r="AL38" s="152"/>
      <c r="AM38" s="152"/>
      <c r="AN38" s="152"/>
      <c r="AO38" s="152"/>
      <c r="AP38" s="152"/>
      <c r="AQ38" s="152"/>
      <c r="AR38" s="152"/>
      <c r="AS38" s="152"/>
      <c r="AT38" s="152"/>
      <c r="AU38" s="152"/>
      <c r="AV38" s="152"/>
      <c r="AW38" s="152"/>
      <c r="AX38" s="152"/>
      <c r="AY38" s="152"/>
      <c r="AZ38" s="152"/>
      <c r="BA38" s="152"/>
      <c r="BB38" s="152"/>
      <c r="BC38" s="254"/>
      <c r="BD38" s="150"/>
      <c r="BE38" s="154" t="s">
        <v>355</v>
      </c>
      <c r="BF38" s="155"/>
      <c r="BG38" s="156"/>
      <c r="BH38" s="157"/>
      <c r="BI38" s="152"/>
      <c r="BJ38" s="152"/>
      <c r="BK38" s="152"/>
      <c r="BL38" s="152"/>
      <c r="BM38" s="152"/>
      <c r="BN38" s="152"/>
      <c r="BO38" s="152"/>
      <c r="BP38" s="152"/>
      <c r="BQ38" s="156"/>
      <c r="BR38" s="158"/>
      <c r="BS38" s="145"/>
      <c r="BT38" s="145"/>
      <c r="BU38" s="159"/>
      <c r="BV38" s="157"/>
      <c r="BW38" s="152"/>
      <c r="BX38" s="152"/>
      <c r="BY38" s="152"/>
      <c r="BZ38" s="152"/>
      <c r="CA38" s="152"/>
      <c r="CB38" s="152"/>
      <c r="CC38" s="152"/>
      <c r="CD38" s="156"/>
      <c r="CE38" s="157"/>
      <c r="CF38" s="152"/>
      <c r="CG38" s="152"/>
      <c r="CH38" s="152"/>
      <c r="CI38" s="152"/>
      <c r="CJ38" s="152"/>
      <c r="CK38" s="152"/>
      <c r="CL38" s="152"/>
      <c r="CM38" s="152"/>
      <c r="CN38" s="156"/>
      <c r="CO38" s="158"/>
      <c r="CP38" s="160"/>
      <c r="CQ38" s="145"/>
      <c r="CR38" s="145"/>
      <c r="CS38" s="145"/>
      <c r="CT38" s="145"/>
      <c r="CU38" s="145"/>
      <c r="CV38" s="161"/>
      <c r="CW38" s="151"/>
      <c r="CX38" s="162"/>
    </row>
    <row r="39" spans="1:102" ht="26.1" hidden="1" customHeight="1" x14ac:dyDescent="0.25">
      <c r="A39" s="143" t="s">
        <v>34</v>
      </c>
      <c r="B39" s="360"/>
      <c r="C39" s="447" t="s">
        <v>34</v>
      </c>
      <c r="D39" s="154" t="s">
        <v>695</v>
      </c>
      <c r="E39" s="448" t="s">
        <v>3</v>
      </c>
      <c r="F39" s="145"/>
      <c r="G39" s="60"/>
      <c r="H39" s="453"/>
      <c r="I39" s="549"/>
      <c r="J39" s="550"/>
      <c r="K39" s="147" t="s">
        <v>254</v>
      </c>
      <c r="L39" s="148" t="s">
        <v>255</v>
      </c>
      <c r="M39" s="149" t="s">
        <v>256</v>
      </c>
      <c r="O39" s="143" t="s">
        <v>34</v>
      </c>
      <c r="P39" s="150"/>
      <c r="Q39" s="145"/>
      <c r="R39" s="145"/>
      <c r="S39" s="145"/>
      <c r="T39" s="145"/>
      <c r="U39" s="145"/>
      <c r="V39" s="145"/>
      <c r="W39" s="145"/>
      <c r="X39" s="145"/>
      <c r="Y39" s="145"/>
      <c r="Z39" s="145"/>
      <c r="AA39" s="145"/>
      <c r="AB39" s="145"/>
      <c r="AC39" s="145"/>
      <c r="AD39" s="145"/>
      <c r="AE39" s="145"/>
      <c r="AF39" s="151"/>
      <c r="AG39" s="150"/>
      <c r="AH39" s="145"/>
      <c r="AI39" s="145"/>
      <c r="AJ39" s="152"/>
      <c r="AK39" s="152"/>
      <c r="AL39" s="152"/>
      <c r="AM39" s="152"/>
      <c r="AN39" s="152"/>
      <c r="AO39" s="152"/>
      <c r="AP39" s="152"/>
      <c r="AQ39" s="152"/>
      <c r="AR39" s="152"/>
      <c r="AS39" s="152"/>
      <c r="AT39" s="152"/>
      <c r="AU39" s="152"/>
      <c r="AV39" s="152"/>
      <c r="AW39" s="152"/>
      <c r="AX39" s="152"/>
      <c r="AY39" s="152"/>
      <c r="AZ39" s="152"/>
      <c r="BA39" s="152"/>
      <c r="BB39" s="152"/>
      <c r="BC39" s="254"/>
      <c r="BD39" s="150"/>
      <c r="BE39" s="154" t="s">
        <v>355</v>
      </c>
      <c r="BF39" s="155"/>
      <c r="BG39" s="156">
        <f>SUM(BG40)</f>
        <v>17583152041.885002</v>
      </c>
      <c r="BH39" s="157">
        <f>SUM(BH40)</f>
        <v>18398311297.550251</v>
      </c>
      <c r="BI39" s="152">
        <f>SUM(BI40)</f>
        <v>24647547068.429237</v>
      </c>
      <c r="BJ39" s="152">
        <f t="shared" ref="BJ39:BP39" si="76">SUM(BJ40)</f>
        <v>20038036171.276962</v>
      </c>
      <c r="BK39" s="152">
        <f t="shared" si="76"/>
        <v>21398594922.287354</v>
      </c>
      <c r="BL39" s="152">
        <f t="shared" si="76"/>
        <v>21350532945.290169</v>
      </c>
      <c r="BM39" s="152">
        <f t="shared" si="76"/>
        <v>21516884708.1138</v>
      </c>
      <c r="BN39" s="152">
        <f t="shared" si="76"/>
        <v>22629501884.081123</v>
      </c>
      <c r="BO39" s="152">
        <f t="shared" si="76"/>
        <v>23760976978.285179</v>
      </c>
      <c r="BP39" s="152">
        <f t="shared" si="76"/>
        <v>24949025827.19944</v>
      </c>
      <c r="BQ39" s="156">
        <f>SUM(BH39:BP39)</f>
        <v>198689411802.51352</v>
      </c>
      <c r="BR39" s="158"/>
      <c r="BS39" s="145"/>
      <c r="BT39" s="145"/>
      <c r="BU39" s="159"/>
      <c r="BV39" s="157">
        <f>SUM(BV40)</f>
        <v>27462433914.829643</v>
      </c>
      <c r="BW39" s="152">
        <f>SUM(BW40)</f>
        <v>34926357600.827637</v>
      </c>
      <c r="BX39" s="152">
        <f t="shared" ref="BX39:CC39" si="77">SUM(BX40)</f>
        <v>32147581184.49176</v>
      </c>
      <c r="BY39" s="152">
        <f t="shared" si="77"/>
        <v>34390977223.765854</v>
      </c>
      <c r="BZ39" s="152">
        <f t="shared" si="77"/>
        <v>35225752535.032272</v>
      </c>
      <c r="CA39" s="152">
        <f t="shared" si="77"/>
        <v>36825141586.119598</v>
      </c>
      <c r="CB39" s="152">
        <f t="shared" si="77"/>
        <v>38270396050.350624</v>
      </c>
      <c r="CC39" s="152">
        <f t="shared" si="77"/>
        <v>39734508432.818375</v>
      </c>
      <c r="CD39" s="156">
        <f>SUM(CD40)</f>
        <v>42355594569.996338</v>
      </c>
      <c r="CE39" s="157">
        <f>SUM(CE40)</f>
        <v>9064122617.2793922</v>
      </c>
      <c r="CF39" s="152">
        <f>SUM(CF40)</f>
        <v>10278810532.398399</v>
      </c>
      <c r="CG39" s="152">
        <f t="shared" ref="CG39:CM39" si="78">SUM(CG40)</f>
        <v>12109545013.214798</v>
      </c>
      <c r="CH39" s="152">
        <f t="shared" si="78"/>
        <v>12992382301.4785</v>
      </c>
      <c r="CI39" s="152">
        <f t="shared" si="78"/>
        <v>13875219589.742104</v>
      </c>
      <c r="CJ39" s="152">
        <f t="shared" si="78"/>
        <v>15308256878.005798</v>
      </c>
      <c r="CK39" s="152">
        <f t="shared" si="78"/>
        <v>15640894166.269501</v>
      </c>
      <c r="CL39" s="152">
        <f t="shared" si="78"/>
        <v>15973531454.533195</v>
      </c>
      <c r="CM39" s="152">
        <f t="shared" si="78"/>
        <v>17406568742.796898</v>
      </c>
      <c r="CN39" s="156">
        <f t="shared" ref="CN39:CN45" si="79">SUM(CE39:CM39)</f>
        <v>122649331295.7186</v>
      </c>
      <c r="CO39" s="158"/>
      <c r="CP39" s="160">
        <f>SUM(CP40)</f>
        <v>454300</v>
      </c>
      <c r="CQ39" s="145"/>
      <c r="CR39" s="145"/>
      <c r="CS39" s="145"/>
      <c r="CT39" s="145"/>
      <c r="CU39" s="145"/>
      <c r="CV39" s="161">
        <f>SUM(CV40)</f>
        <v>122399466295.7186</v>
      </c>
      <c r="CW39" s="151"/>
      <c r="CX39" s="162"/>
    </row>
    <row r="40" spans="1:102" ht="26.1" customHeight="1" x14ac:dyDescent="0.25">
      <c r="A40" s="204" t="s">
        <v>35</v>
      </c>
      <c r="B40" s="362"/>
      <c r="C40" s="450" t="s">
        <v>35</v>
      </c>
      <c r="D40" s="451" t="s">
        <v>696</v>
      </c>
      <c r="E40" s="48" t="s">
        <v>3</v>
      </c>
      <c r="F40" s="48" t="s">
        <v>410</v>
      </c>
      <c r="G40" s="48" t="s">
        <v>414</v>
      </c>
      <c r="H40" s="94" t="s">
        <v>110</v>
      </c>
      <c r="I40" s="547" t="s">
        <v>245</v>
      </c>
      <c r="J40" s="548" t="s">
        <v>233</v>
      </c>
      <c r="K40" s="206"/>
      <c r="L40" s="207"/>
      <c r="M40" s="208"/>
      <c r="O40" s="204" t="s">
        <v>35</v>
      </c>
      <c r="P40" s="47" t="s">
        <v>3</v>
      </c>
      <c r="Q40" s="48" t="s">
        <v>410</v>
      </c>
      <c r="R40" s="48" t="s">
        <v>314</v>
      </c>
      <c r="S40" s="48" t="s">
        <v>314</v>
      </c>
      <c r="T40" s="48" t="s">
        <v>314</v>
      </c>
      <c r="U40" s="48" t="s">
        <v>307</v>
      </c>
      <c r="V40" s="48"/>
      <c r="W40" s="48"/>
      <c r="X40" s="48" t="s">
        <v>314</v>
      </c>
      <c r="Y40" s="48"/>
      <c r="Z40" s="48"/>
      <c r="AA40" s="48" t="s">
        <v>314</v>
      </c>
      <c r="AB40" s="48"/>
      <c r="AC40" s="48" t="s">
        <v>314</v>
      </c>
      <c r="AD40" s="48"/>
      <c r="AE40" s="48"/>
      <c r="AF40" s="209"/>
      <c r="AG40" s="47" t="s">
        <v>308</v>
      </c>
      <c r="AH40" s="210" t="s">
        <v>319</v>
      </c>
      <c r="AI40" s="68" t="s">
        <v>411</v>
      </c>
      <c r="AJ40" s="170">
        <v>352008.94249999989</v>
      </c>
      <c r="AK40" s="170">
        <v>353431.50999999989</v>
      </c>
      <c r="AL40" s="170">
        <v>357933.41</v>
      </c>
      <c r="AM40" s="170">
        <v>341370.5</v>
      </c>
      <c r="AN40" s="170">
        <v>318870.5</v>
      </c>
      <c r="AO40" s="170">
        <v>261905.99999999997</v>
      </c>
      <c r="AP40" s="170">
        <v>300000</v>
      </c>
      <c r="AQ40" s="170">
        <v>300000</v>
      </c>
      <c r="AR40" s="170">
        <v>300000</v>
      </c>
      <c r="AS40" s="170">
        <f t="shared" ref="AS40:BA40" si="80">+AJ40+233000</f>
        <v>585008.94249999989</v>
      </c>
      <c r="AT40" s="170">
        <f t="shared" si="80"/>
        <v>586431.50999999989</v>
      </c>
      <c r="AU40" s="170">
        <f t="shared" si="80"/>
        <v>590933.40999999992</v>
      </c>
      <c r="AV40" s="170">
        <f t="shared" si="80"/>
        <v>574370.5</v>
      </c>
      <c r="AW40" s="170">
        <f t="shared" si="80"/>
        <v>551870.5</v>
      </c>
      <c r="AX40" s="170">
        <f t="shared" si="80"/>
        <v>494906</v>
      </c>
      <c r="AY40" s="170">
        <f t="shared" si="80"/>
        <v>533000</v>
      </c>
      <c r="AZ40" s="170">
        <f t="shared" si="80"/>
        <v>533000</v>
      </c>
      <c r="BA40" s="170">
        <f t="shared" si="80"/>
        <v>533000</v>
      </c>
      <c r="BB40" s="170"/>
      <c r="BC40" s="260"/>
      <c r="BD40" s="206" t="s">
        <v>334</v>
      </c>
      <c r="BE40" s="68" t="s">
        <v>312</v>
      </c>
      <c r="BF40" s="48" t="s">
        <v>323</v>
      </c>
      <c r="BG40" s="305">
        <v>17583152041.885002</v>
      </c>
      <c r="BH40" s="212">
        <v>18398311297.550251</v>
      </c>
      <c r="BI40" s="170">
        <v>24647547068.429237</v>
      </c>
      <c r="BJ40" s="170">
        <v>20038036171.276962</v>
      </c>
      <c r="BK40" s="170">
        <v>21398594922.287354</v>
      </c>
      <c r="BL40" s="170">
        <v>21350532945.290169</v>
      </c>
      <c r="BM40" s="170">
        <v>21516884708.1138</v>
      </c>
      <c r="BN40" s="170">
        <v>22629501884.081123</v>
      </c>
      <c r="BO40" s="170">
        <v>23760976978.285179</v>
      </c>
      <c r="BP40" s="170">
        <v>24949025827.19944</v>
      </c>
      <c r="BQ40" s="213">
        <f>SUM(BH40:BP40)</f>
        <v>198689411802.51352</v>
      </c>
      <c r="BR40" s="270">
        <v>0.94</v>
      </c>
      <c r="BS40" s="215"/>
      <c r="BT40" s="215">
        <v>0.06</v>
      </c>
      <c r="BU40" s="243" t="s">
        <v>495</v>
      </c>
      <c r="BV40" s="212">
        <v>27462433914.829643</v>
      </c>
      <c r="BW40" s="170">
        <v>34926357600.827637</v>
      </c>
      <c r="BX40" s="170">
        <v>32147581184.49176</v>
      </c>
      <c r="BY40" s="170">
        <v>34390977223.765854</v>
      </c>
      <c r="BZ40" s="170">
        <v>35225752535.032272</v>
      </c>
      <c r="CA40" s="170">
        <v>36825141586.119598</v>
      </c>
      <c r="CB40" s="170">
        <v>38270396050.350624</v>
      </c>
      <c r="CC40" s="170">
        <v>39734508432.818375</v>
      </c>
      <c r="CD40" s="213">
        <v>42355594569.996338</v>
      </c>
      <c r="CE40" s="212">
        <f>+BV40-BH40</f>
        <v>9064122617.2793922</v>
      </c>
      <c r="CF40" s="170">
        <f t="shared" ref="CF40:CM40" si="81">+BW40-BI40</f>
        <v>10278810532.398399</v>
      </c>
      <c r="CG40" s="170">
        <f t="shared" si="81"/>
        <v>12109545013.214798</v>
      </c>
      <c r="CH40" s="170">
        <f t="shared" si="81"/>
        <v>12992382301.4785</v>
      </c>
      <c r="CI40" s="170">
        <f t="shared" si="81"/>
        <v>13875219589.742104</v>
      </c>
      <c r="CJ40" s="170">
        <f t="shared" si="81"/>
        <v>15308256878.005798</v>
      </c>
      <c r="CK40" s="170">
        <f t="shared" si="81"/>
        <v>15640894166.269501</v>
      </c>
      <c r="CL40" s="170">
        <f t="shared" si="81"/>
        <v>15973531454.533195</v>
      </c>
      <c r="CM40" s="170">
        <f t="shared" si="81"/>
        <v>17406568742.796898</v>
      </c>
      <c r="CN40" s="213">
        <f t="shared" si="79"/>
        <v>122649331295.7186</v>
      </c>
      <c r="CO40" s="219"/>
      <c r="CP40" s="220">
        <f>190000+264300</f>
        <v>454300</v>
      </c>
      <c r="CQ40" s="220" t="s">
        <v>335</v>
      </c>
      <c r="CR40" s="210"/>
      <c r="CS40" s="210"/>
      <c r="CT40" s="210"/>
      <c r="CU40" s="210"/>
      <c r="CV40" s="221">
        <f>+CN40-CP40*550</f>
        <v>122399466295.7186</v>
      </c>
      <c r="CW40" s="222"/>
      <c r="CX40" s="246"/>
    </row>
    <row r="41" spans="1:102" ht="26.1" hidden="1" customHeight="1" x14ac:dyDescent="0.25">
      <c r="A41" s="286" t="s">
        <v>38</v>
      </c>
      <c r="B41" s="359"/>
      <c r="C41" s="457" t="s">
        <v>38</v>
      </c>
      <c r="D41" s="65" t="s">
        <v>697</v>
      </c>
      <c r="E41" s="64" t="s">
        <v>4</v>
      </c>
      <c r="F41" s="288"/>
      <c r="G41" s="64"/>
      <c r="H41" s="458"/>
      <c r="I41" s="555"/>
      <c r="J41" s="556"/>
      <c r="K41" s="289"/>
      <c r="L41" s="290"/>
      <c r="M41" s="291"/>
      <c r="O41" s="286" t="s">
        <v>38</v>
      </c>
      <c r="P41" s="292"/>
      <c r="Q41" s="288"/>
      <c r="R41" s="288"/>
      <c r="S41" s="288"/>
      <c r="T41" s="288"/>
      <c r="U41" s="288"/>
      <c r="V41" s="288"/>
      <c r="W41" s="288"/>
      <c r="X41" s="288"/>
      <c r="Y41" s="288"/>
      <c r="Z41" s="288"/>
      <c r="AA41" s="288"/>
      <c r="AB41" s="288"/>
      <c r="AC41" s="288"/>
      <c r="AD41" s="288"/>
      <c r="AE41" s="288"/>
      <c r="AF41" s="293"/>
      <c r="AG41" s="292"/>
      <c r="AH41" s="288"/>
      <c r="AI41" s="288"/>
      <c r="AJ41" s="294"/>
      <c r="AK41" s="294"/>
      <c r="AL41" s="294"/>
      <c r="AM41" s="294"/>
      <c r="AN41" s="294"/>
      <c r="AO41" s="294"/>
      <c r="AP41" s="294"/>
      <c r="AQ41" s="294"/>
      <c r="AR41" s="294"/>
      <c r="AS41" s="294"/>
      <c r="AT41" s="294"/>
      <c r="AU41" s="294"/>
      <c r="AV41" s="294"/>
      <c r="AW41" s="294"/>
      <c r="AX41" s="294"/>
      <c r="AY41" s="294"/>
      <c r="AZ41" s="294"/>
      <c r="BA41" s="294"/>
      <c r="BB41" s="294"/>
      <c r="BC41" s="295"/>
      <c r="BD41" s="292"/>
      <c r="BE41" s="288"/>
      <c r="BF41" s="296"/>
      <c r="BG41" s="297">
        <f>+BG42+BG46+BG48+BG50</f>
        <v>80400000</v>
      </c>
      <c r="BH41" s="298">
        <f>+BH42+BH46+BH48+BH50</f>
        <v>171338461.53846154</v>
      </c>
      <c r="BI41" s="294">
        <f>+BI42+BI46+BI48+BI50</f>
        <v>235530769.23076922</v>
      </c>
      <c r="BJ41" s="294">
        <f t="shared" ref="BJ41:BP41" si="82">+BJ42+BJ46+BJ48+BJ50</f>
        <v>235530769.23076922</v>
      </c>
      <c r="BK41" s="294">
        <f t="shared" si="82"/>
        <v>235530769.23076922</v>
      </c>
      <c r="BL41" s="294">
        <f t="shared" si="82"/>
        <v>235530769.23076922</v>
      </c>
      <c r="BM41" s="294">
        <f t="shared" si="82"/>
        <v>235530769.23076922</v>
      </c>
      <c r="BN41" s="294">
        <f t="shared" si="82"/>
        <v>232230769.23076922</v>
      </c>
      <c r="BO41" s="294">
        <f t="shared" si="82"/>
        <v>232230769.23076922</v>
      </c>
      <c r="BP41" s="294">
        <f t="shared" si="82"/>
        <v>232230769.23076922</v>
      </c>
      <c r="BQ41" s="299">
        <f>SUM(BH41:BP41)</f>
        <v>2045684615.3846149</v>
      </c>
      <c r="BR41" s="300"/>
      <c r="BS41" s="288"/>
      <c r="BT41" s="288"/>
      <c r="BU41" s="301"/>
      <c r="BV41" s="298">
        <f>+BV42+BV46+BV48+BV50</f>
        <v>378134615.38461542</v>
      </c>
      <c r="BW41" s="294">
        <f>+BW42+BW46+BW48+BW50</f>
        <v>523271153.84615386</v>
      </c>
      <c r="BX41" s="294">
        <f t="shared" ref="BX41:CC41" si="83">+BX42+BX46+BX48+BX50</f>
        <v>527271153.84615386</v>
      </c>
      <c r="BY41" s="294">
        <f t="shared" si="83"/>
        <v>518771153.84615386</v>
      </c>
      <c r="BZ41" s="294">
        <f t="shared" si="83"/>
        <v>510771153.84615386</v>
      </c>
      <c r="CA41" s="294">
        <f t="shared" si="83"/>
        <v>510771153.84615386</v>
      </c>
      <c r="CB41" s="294">
        <f t="shared" si="83"/>
        <v>510771153.84615386</v>
      </c>
      <c r="CC41" s="294">
        <f t="shared" si="83"/>
        <v>510771153.84615386</v>
      </c>
      <c r="CD41" s="299">
        <f>+CD42+CD46+CD48+CD50</f>
        <v>510771153.84615386</v>
      </c>
      <c r="CE41" s="298">
        <f>+CE42+CE46+CE48+CE50</f>
        <v>206796153.84615386</v>
      </c>
      <c r="CF41" s="294">
        <f>+CF42+CF46+CF48+CF50</f>
        <v>287740384.61538464</v>
      </c>
      <c r="CG41" s="294">
        <f t="shared" ref="CG41:CM41" si="84">+CG42+CG46+CG48+CG50</f>
        <v>291740384.61538464</v>
      </c>
      <c r="CH41" s="294">
        <f t="shared" si="84"/>
        <v>283240384.61538464</v>
      </c>
      <c r="CI41" s="294">
        <f t="shared" si="84"/>
        <v>275240384.61538464</v>
      </c>
      <c r="CJ41" s="294">
        <f t="shared" si="84"/>
        <v>275240384.61538464</v>
      </c>
      <c r="CK41" s="294">
        <f t="shared" si="84"/>
        <v>278540384.61538464</v>
      </c>
      <c r="CL41" s="294">
        <f t="shared" si="84"/>
        <v>278540384.61538464</v>
      </c>
      <c r="CM41" s="294">
        <f t="shared" si="84"/>
        <v>278540384.61538464</v>
      </c>
      <c r="CN41" s="299">
        <f t="shared" si="79"/>
        <v>2455619230.7692308</v>
      </c>
      <c r="CO41" s="300"/>
      <c r="CP41" s="302">
        <f>+CP42+CP46+CP48+CP50</f>
        <v>99000</v>
      </c>
      <c r="CQ41" s="288"/>
      <c r="CR41" s="288"/>
      <c r="CS41" s="288"/>
      <c r="CT41" s="288"/>
      <c r="CU41" s="288"/>
      <c r="CV41" s="303">
        <f>+CV42+CV46+CV48+CV50</f>
        <v>2401169230.7692308</v>
      </c>
      <c r="CW41" s="293"/>
      <c r="CX41" s="304"/>
    </row>
    <row r="42" spans="1:102" ht="26.1" hidden="1" customHeight="1" x14ac:dyDescent="0.25">
      <c r="A42" s="143" t="s">
        <v>358</v>
      </c>
      <c r="B42" s="360"/>
      <c r="C42" s="447" t="s">
        <v>358</v>
      </c>
      <c r="D42" s="154" t="s">
        <v>698</v>
      </c>
      <c r="E42" s="448" t="s">
        <v>4</v>
      </c>
      <c r="F42" s="145"/>
      <c r="G42" s="60"/>
      <c r="H42" s="453"/>
      <c r="I42" s="549"/>
      <c r="J42" s="550"/>
      <c r="K42" s="147" t="s">
        <v>255</v>
      </c>
      <c r="L42" s="148" t="s">
        <v>256</v>
      </c>
      <c r="M42" s="149"/>
      <c r="O42" s="143" t="s">
        <v>358</v>
      </c>
      <c r="P42" s="150"/>
      <c r="Q42" s="145"/>
      <c r="R42" s="145"/>
      <c r="S42" s="145"/>
      <c r="T42" s="145"/>
      <c r="U42" s="145"/>
      <c r="V42" s="145"/>
      <c r="W42" s="145"/>
      <c r="X42" s="145"/>
      <c r="Y42" s="145"/>
      <c r="Z42" s="145"/>
      <c r="AA42" s="145"/>
      <c r="AB42" s="145"/>
      <c r="AC42" s="145"/>
      <c r="AD42" s="145"/>
      <c r="AE42" s="145"/>
      <c r="AF42" s="151"/>
      <c r="AG42" s="150"/>
      <c r="AH42" s="145"/>
      <c r="AI42" s="145"/>
      <c r="AJ42" s="152"/>
      <c r="AK42" s="152"/>
      <c r="AL42" s="152"/>
      <c r="AM42" s="152"/>
      <c r="AN42" s="152"/>
      <c r="AO42" s="152"/>
      <c r="AP42" s="152"/>
      <c r="AQ42" s="152"/>
      <c r="AR42" s="152"/>
      <c r="AS42" s="152"/>
      <c r="AT42" s="152"/>
      <c r="AU42" s="152"/>
      <c r="AV42" s="152"/>
      <c r="AW42" s="152"/>
      <c r="AX42" s="152"/>
      <c r="AY42" s="152"/>
      <c r="AZ42" s="152"/>
      <c r="BA42" s="152"/>
      <c r="BB42" s="152"/>
      <c r="BC42" s="254"/>
      <c r="BD42" s="150"/>
      <c r="BE42" s="154" t="s">
        <v>357</v>
      </c>
      <c r="BF42" s="155"/>
      <c r="BG42" s="156">
        <f>SUM(BG43:BG45)</f>
        <v>50400000</v>
      </c>
      <c r="BH42" s="157">
        <f>SUM(BH43:BH45)</f>
        <v>145938461.53846154</v>
      </c>
      <c r="BI42" s="152">
        <f>SUM(BI43:BI45)</f>
        <v>224530769.23076922</v>
      </c>
      <c r="BJ42" s="152">
        <f t="shared" ref="BJ42:BP42" si="85">SUM(BJ43:BJ45)</f>
        <v>224530769.23076922</v>
      </c>
      <c r="BK42" s="152">
        <f t="shared" si="85"/>
        <v>224530769.23076922</v>
      </c>
      <c r="BL42" s="152">
        <f t="shared" si="85"/>
        <v>224530769.23076922</v>
      </c>
      <c r="BM42" s="152">
        <f t="shared" si="85"/>
        <v>224530769.23076922</v>
      </c>
      <c r="BN42" s="152">
        <f t="shared" si="85"/>
        <v>221230769.23076922</v>
      </c>
      <c r="BO42" s="152">
        <f t="shared" si="85"/>
        <v>221230769.23076922</v>
      </c>
      <c r="BP42" s="152">
        <f t="shared" si="85"/>
        <v>221230769.23076922</v>
      </c>
      <c r="BQ42" s="156">
        <f>SUM(BH42:BP42)</f>
        <v>1932284615.3846149</v>
      </c>
      <c r="BR42" s="158"/>
      <c r="BS42" s="145"/>
      <c r="BT42" s="145"/>
      <c r="BU42" s="159"/>
      <c r="BV42" s="157">
        <f>SUM(BV43:BV45)</f>
        <v>357934615.38461542</v>
      </c>
      <c r="BW42" s="152">
        <f>SUM(BW43:BW45)</f>
        <v>506471153.84615386</v>
      </c>
      <c r="BX42" s="152">
        <f t="shared" ref="BX42:CC42" si="86">SUM(BX43:BX45)</f>
        <v>500971153.84615386</v>
      </c>
      <c r="BY42" s="152">
        <f t="shared" si="86"/>
        <v>489971153.84615386</v>
      </c>
      <c r="BZ42" s="152">
        <f t="shared" si="86"/>
        <v>489971153.84615386</v>
      </c>
      <c r="CA42" s="152">
        <f t="shared" si="86"/>
        <v>489971153.84615386</v>
      </c>
      <c r="CB42" s="152">
        <f t="shared" si="86"/>
        <v>489971153.84615386</v>
      </c>
      <c r="CC42" s="152">
        <f t="shared" si="86"/>
        <v>489971153.84615386</v>
      </c>
      <c r="CD42" s="156">
        <f>SUM(CD43:CD45)</f>
        <v>489971153.84615386</v>
      </c>
      <c r="CE42" s="157">
        <f>SUM(CE43:CE45)</f>
        <v>211996153.84615386</v>
      </c>
      <c r="CF42" s="152">
        <f>SUM(CF43:CF45)</f>
        <v>281940384.61538464</v>
      </c>
      <c r="CG42" s="152">
        <f t="shared" ref="CG42:CL42" si="87">SUM(CG43:CG45)</f>
        <v>276440384.61538464</v>
      </c>
      <c r="CH42" s="152">
        <f t="shared" si="87"/>
        <v>265440384.61538464</v>
      </c>
      <c r="CI42" s="152">
        <f t="shared" si="87"/>
        <v>265440384.61538464</v>
      </c>
      <c r="CJ42" s="152">
        <f t="shared" si="87"/>
        <v>265440384.61538464</v>
      </c>
      <c r="CK42" s="152">
        <f t="shared" si="87"/>
        <v>268740384.61538464</v>
      </c>
      <c r="CL42" s="152">
        <f t="shared" si="87"/>
        <v>268740384.61538464</v>
      </c>
      <c r="CM42" s="152">
        <f>SUM(CM43:CM45)</f>
        <v>268740384.61538464</v>
      </c>
      <c r="CN42" s="156">
        <f t="shared" si="79"/>
        <v>2372919230.7692308</v>
      </c>
      <c r="CO42" s="158"/>
      <c r="CP42" s="160">
        <f>SUM(CP43:CP45)</f>
        <v>99000</v>
      </c>
      <c r="CQ42" s="145"/>
      <c r="CR42" s="145"/>
      <c r="CS42" s="145"/>
      <c r="CT42" s="145"/>
      <c r="CU42" s="145"/>
      <c r="CV42" s="152">
        <f>SUM(CV43:CV45)</f>
        <v>2318469230.7692308</v>
      </c>
      <c r="CW42" s="151"/>
      <c r="CX42" s="162"/>
    </row>
    <row r="43" spans="1:102" ht="26.1" customHeight="1" x14ac:dyDescent="0.25">
      <c r="A43" s="204" t="s">
        <v>39</v>
      </c>
      <c r="B43" s="362"/>
      <c r="C43" s="450" t="s">
        <v>367</v>
      </c>
      <c r="D43" s="451" t="s">
        <v>699</v>
      </c>
      <c r="E43" s="48" t="s">
        <v>4</v>
      </c>
      <c r="F43" s="48" t="s">
        <v>405</v>
      </c>
      <c r="G43" s="48" t="s">
        <v>397</v>
      </c>
      <c r="H43" s="94" t="s">
        <v>112</v>
      </c>
      <c r="I43" s="547"/>
      <c r="J43" s="548" t="s">
        <v>230</v>
      </c>
      <c r="K43" s="206"/>
      <c r="L43" s="207"/>
      <c r="M43" s="208"/>
      <c r="O43" s="204" t="s">
        <v>367</v>
      </c>
      <c r="P43" s="47" t="s">
        <v>4</v>
      </c>
      <c r="Q43" s="48" t="s">
        <v>11</v>
      </c>
      <c r="R43" s="48"/>
      <c r="S43" s="48" t="s">
        <v>314</v>
      </c>
      <c r="T43" s="48" t="s">
        <v>314</v>
      </c>
      <c r="U43" s="48"/>
      <c r="V43" s="48"/>
      <c r="W43" s="48"/>
      <c r="X43" s="48" t="s">
        <v>307</v>
      </c>
      <c r="Y43" s="48"/>
      <c r="Z43" s="48"/>
      <c r="AA43" s="48" t="s">
        <v>314</v>
      </c>
      <c r="AB43" s="48"/>
      <c r="AC43" s="48"/>
      <c r="AD43" s="48"/>
      <c r="AE43" s="48"/>
      <c r="AF43" s="209"/>
      <c r="AG43" s="47" t="s">
        <v>308</v>
      </c>
      <c r="AH43" s="210" t="s">
        <v>309</v>
      </c>
      <c r="AI43" s="68" t="s">
        <v>368</v>
      </c>
      <c r="AJ43" s="170">
        <v>3</v>
      </c>
      <c r="AK43" s="170">
        <v>3</v>
      </c>
      <c r="AL43" s="170">
        <v>3</v>
      </c>
      <c r="AM43" s="170">
        <v>3</v>
      </c>
      <c r="AN43" s="170">
        <v>3</v>
      </c>
      <c r="AO43" s="170">
        <v>3</v>
      </c>
      <c r="AP43" s="170">
        <v>3</v>
      </c>
      <c r="AQ43" s="170">
        <v>3</v>
      </c>
      <c r="AR43" s="170">
        <v>3</v>
      </c>
      <c r="AS43" s="170">
        <v>23</v>
      </c>
      <c r="AT43" s="170">
        <v>23</v>
      </c>
      <c r="AU43" s="170">
        <v>23</v>
      </c>
      <c r="AV43" s="170">
        <v>23</v>
      </c>
      <c r="AW43" s="170">
        <v>23</v>
      </c>
      <c r="AX43" s="170">
        <v>23</v>
      </c>
      <c r="AY43" s="170">
        <v>23</v>
      </c>
      <c r="AZ43" s="170">
        <v>23</v>
      </c>
      <c r="BA43" s="170">
        <v>23</v>
      </c>
      <c r="BB43" s="170"/>
      <c r="BC43" s="170"/>
      <c r="BD43" s="206" t="s">
        <v>330</v>
      </c>
      <c r="BE43" s="415" t="s">
        <v>423</v>
      </c>
      <c r="BF43" s="48" t="s">
        <v>323</v>
      </c>
      <c r="BG43" s="306">
        <f>(6*15000)*560</f>
        <v>50400000</v>
      </c>
      <c r="BH43" s="307">
        <f>(AJ43*15000)*550</f>
        <v>24750000</v>
      </c>
      <c r="BI43" s="252">
        <f t="shared" ref="BI43:BP43" si="88">((AK43*15000)*550)</f>
        <v>24750000</v>
      </c>
      <c r="BJ43" s="252">
        <f t="shared" si="88"/>
        <v>24750000</v>
      </c>
      <c r="BK43" s="252">
        <f t="shared" si="88"/>
        <v>24750000</v>
      </c>
      <c r="BL43" s="252">
        <f t="shared" si="88"/>
        <v>24750000</v>
      </c>
      <c r="BM43" s="252">
        <f t="shared" si="88"/>
        <v>24750000</v>
      </c>
      <c r="BN43" s="252">
        <f t="shared" si="88"/>
        <v>24750000</v>
      </c>
      <c r="BO43" s="252">
        <f t="shared" si="88"/>
        <v>24750000</v>
      </c>
      <c r="BP43" s="252">
        <f t="shared" si="88"/>
        <v>24750000</v>
      </c>
      <c r="BQ43" s="213">
        <f>SUM(BG43:BP43)</f>
        <v>273150000</v>
      </c>
      <c r="BR43" s="214"/>
      <c r="BS43" s="48"/>
      <c r="BT43" s="308">
        <v>1</v>
      </c>
      <c r="BU43" s="216" t="s">
        <v>496</v>
      </c>
      <c r="BV43" s="212">
        <f>AS43*15000*550</f>
        <v>189750000</v>
      </c>
      <c r="BW43" s="170">
        <f>AT43*15000*550</f>
        <v>189750000</v>
      </c>
      <c r="BX43" s="170">
        <f t="shared" ref="BX43:CD43" si="89">AU43*15000*550</f>
        <v>189750000</v>
      </c>
      <c r="BY43" s="170">
        <f t="shared" si="89"/>
        <v>189750000</v>
      </c>
      <c r="BZ43" s="170">
        <f t="shared" si="89"/>
        <v>189750000</v>
      </c>
      <c r="CA43" s="170">
        <f t="shared" si="89"/>
        <v>189750000</v>
      </c>
      <c r="CB43" s="170">
        <f t="shared" si="89"/>
        <v>189750000</v>
      </c>
      <c r="CC43" s="170">
        <f t="shared" si="89"/>
        <v>189750000</v>
      </c>
      <c r="CD43" s="213">
        <f t="shared" si="89"/>
        <v>189750000</v>
      </c>
      <c r="CE43" s="217">
        <f>+BV43-BH43</f>
        <v>165000000</v>
      </c>
      <c r="CF43" s="217">
        <f t="shared" ref="CF43:CM45" si="90">+BW43-BI43</f>
        <v>165000000</v>
      </c>
      <c r="CG43" s="217">
        <f t="shared" si="90"/>
        <v>165000000</v>
      </c>
      <c r="CH43" s="217">
        <f t="shared" si="90"/>
        <v>165000000</v>
      </c>
      <c r="CI43" s="217">
        <f t="shared" si="90"/>
        <v>165000000</v>
      </c>
      <c r="CJ43" s="217">
        <f t="shared" si="90"/>
        <v>165000000</v>
      </c>
      <c r="CK43" s="217">
        <f t="shared" si="90"/>
        <v>165000000</v>
      </c>
      <c r="CL43" s="217">
        <f t="shared" si="90"/>
        <v>165000000</v>
      </c>
      <c r="CM43" s="217">
        <f t="shared" si="90"/>
        <v>165000000</v>
      </c>
      <c r="CN43" s="218">
        <f t="shared" si="79"/>
        <v>1485000000</v>
      </c>
      <c r="CO43" s="219"/>
      <c r="CP43" s="220">
        <v>99000</v>
      </c>
      <c r="CQ43" s="220" t="s">
        <v>369</v>
      </c>
      <c r="CR43" s="210"/>
      <c r="CS43" s="210"/>
      <c r="CT43" s="210"/>
      <c r="CU43" s="210"/>
      <c r="CV43" s="221">
        <f>+CN43-CP43*550</f>
        <v>1430550000</v>
      </c>
      <c r="CW43" s="222"/>
      <c r="CX43" s="258"/>
    </row>
    <row r="44" spans="1:102" ht="26.1" customHeight="1" x14ac:dyDescent="0.25">
      <c r="A44" s="163" t="s">
        <v>40</v>
      </c>
      <c r="B44" s="362"/>
      <c r="C44" s="450" t="s">
        <v>472</v>
      </c>
      <c r="D44" s="451" t="s">
        <v>700</v>
      </c>
      <c r="E44" s="48" t="s">
        <v>4</v>
      </c>
      <c r="F44" s="48" t="s">
        <v>405</v>
      </c>
      <c r="G44" s="48" t="s">
        <v>397</v>
      </c>
      <c r="H44" s="94" t="s">
        <v>113</v>
      </c>
      <c r="I44" s="547"/>
      <c r="J44" s="548" t="s">
        <v>230</v>
      </c>
      <c r="K44" s="206"/>
      <c r="L44" s="207"/>
      <c r="M44" s="208"/>
      <c r="O44" s="204" t="s">
        <v>472</v>
      </c>
      <c r="P44" s="47" t="s">
        <v>4</v>
      </c>
      <c r="Q44" s="48" t="s">
        <v>444</v>
      </c>
      <c r="R44" s="48" t="s">
        <v>314</v>
      </c>
      <c r="S44" s="48" t="s">
        <v>314</v>
      </c>
      <c r="T44" s="48" t="s">
        <v>314</v>
      </c>
      <c r="U44" s="48"/>
      <c r="V44" s="48" t="s">
        <v>314</v>
      </c>
      <c r="W44" s="48"/>
      <c r="X44" s="48" t="s">
        <v>307</v>
      </c>
      <c r="Y44" s="48"/>
      <c r="Z44" s="48"/>
      <c r="AA44" s="48"/>
      <c r="AB44" s="48"/>
      <c r="AC44" s="48"/>
      <c r="AD44" s="48"/>
      <c r="AE44" s="48"/>
      <c r="AF44" s="209"/>
      <c r="AG44" s="47" t="s">
        <v>315</v>
      </c>
      <c r="AH44" s="210" t="s">
        <v>319</v>
      </c>
      <c r="AI44" s="68" t="s">
        <v>445</v>
      </c>
      <c r="AJ44" s="170">
        <v>0</v>
      </c>
      <c r="AK44" s="170">
        <v>0</v>
      </c>
      <c r="AL44" s="170">
        <v>0</v>
      </c>
      <c r="AM44" s="170">
        <v>0</v>
      </c>
      <c r="AN44" s="170">
        <v>0</v>
      </c>
      <c r="AO44" s="170">
        <v>0</v>
      </c>
      <c r="AP44" s="170">
        <v>0</v>
      </c>
      <c r="AQ44" s="170">
        <v>0</v>
      </c>
      <c r="AR44" s="170">
        <v>1</v>
      </c>
      <c r="AS44" s="170">
        <v>0</v>
      </c>
      <c r="AT44" s="170">
        <v>0</v>
      </c>
      <c r="AU44" s="170">
        <v>0</v>
      </c>
      <c r="AV44" s="170">
        <v>1</v>
      </c>
      <c r="AW44" s="170">
        <v>0</v>
      </c>
      <c r="AX44" s="170">
        <v>0</v>
      </c>
      <c r="AY44" s="170">
        <v>0</v>
      </c>
      <c r="AZ44" s="170">
        <v>0</v>
      </c>
      <c r="BA44" s="170">
        <v>0</v>
      </c>
      <c r="BB44" s="170"/>
      <c r="BC44" s="170"/>
      <c r="BD44" s="206" t="s">
        <v>446</v>
      </c>
      <c r="BE44" s="415" t="s">
        <v>349</v>
      </c>
      <c r="BF44" s="48" t="s">
        <v>313</v>
      </c>
      <c r="BG44" s="211"/>
      <c r="BH44" s="212">
        <f t="shared" ref="BH44:BM44" si="91">3*2000*550</f>
        <v>3300000</v>
      </c>
      <c r="BI44" s="170">
        <f t="shared" si="91"/>
        <v>3300000</v>
      </c>
      <c r="BJ44" s="170">
        <f t="shared" si="91"/>
        <v>3300000</v>
      </c>
      <c r="BK44" s="170">
        <f t="shared" si="91"/>
        <v>3300000</v>
      </c>
      <c r="BL44" s="170">
        <f t="shared" si="91"/>
        <v>3300000</v>
      </c>
      <c r="BM44" s="170">
        <f t="shared" si="91"/>
        <v>3300000</v>
      </c>
      <c r="BN44" s="170"/>
      <c r="BO44" s="170"/>
      <c r="BP44" s="170"/>
      <c r="BQ44" s="213">
        <f t="shared" ref="BQ44:BQ55" si="92">SUM(BH44:BP44)</f>
        <v>19800000</v>
      </c>
      <c r="BR44" s="214"/>
      <c r="BS44" s="48"/>
      <c r="BT44" s="215">
        <v>1</v>
      </c>
      <c r="BU44" s="216"/>
      <c r="BV44" s="212">
        <f>5*2000*550</f>
        <v>5500000</v>
      </c>
      <c r="BW44" s="170">
        <f>15*2000*550</f>
        <v>16500000</v>
      </c>
      <c r="BX44" s="170">
        <f>20000*550</f>
        <v>11000000</v>
      </c>
      <c r="BY44" s="170">
        <v>0</v>
      </c>
      <c r="BZ44" s="170">
        <v>0</v>
      </c>
      <c r="CA44" s="170">
        <v>0</v>
      </c>
      <c r="CB44" s="170">
        <v>0</v>
      </c>
      <c r="CC44" s="170">
        <v>0</v>
      </c>
      <c r="CD44" s="213">
        <v>0</v>
      </c>
      <c r="CE44" s="217">
        <f>+BV44-BH44</f>
        <v>2200000</v>
      </c>
      <c r="CF44" s="170">
        <f>+BW44-BI44</f>
        <v>13200000</v>
      </c>
      <c r="CG44" s="170">
        <f t="shared" si="90"/>
        <v>7700000</v>
      </c>
      <c r="CH44" s="170">
        <f t="shared" si="90"/>
        <v>-3300000</v>
      </c>
      <c r="CI44" s="170">
        <f t="shared" si="90"/>
        <v>-3300000</v>
      </c>
      <c r="CJ44" s="170">
        <f t="shared" si="90"/>
        <v>-3300000</v>
      </c>
      <c r="CK44" s="170">
        <f t="shared" si="90"/>
        <v>0</v>
      </c>
      <c r="CL44" s="170">
        <f t="shared" si="90"/>
        <v>0</v>
      </c>
      <c r="CM44" s="170">
        <f t="shared" si="90"/>
        <v>0</v>
      </c>
      <c r="CN44" s="218">
        <f t="shared" si="79"/>
        <v>13200000</v>
      </c>
      <c r="CO44" s="219"/>
      <c r="CP44" s="220"/>
      <c r="CQ44" s="220"/>
      <c r="CR44" s="210"/>
      <c r="CS44" s="210"/>
      <c r="CT44" s="210"/>
      <c r="CU44" s="210"/>
      <c r="CV44" s="221">
        <f>+CN44-CP44*550</f>
        <v>13200000</v>
      </c>
      <c r="CW44" s="222"/>
      <c r="CX44" s="309"/>
    </row>
    <row r="45" spans="1:102" ht="26.1" customHeight="1" x14ac:dyDescent="0.25">
      <c r="A45" s="184"/>
      <c r="B45" s="362"/>
      <c r="C45" s="450" t="s">
        <v>473</v>
      </c>
      <c r="D45" s="451" t="s">
        <v>701</v>
      </c>
      <c r="E45" s="48" t="s">
        <v>4</v>
      </c>
      <c r="F45" s="48" t="s">
        <v>405</v>
      </c>
      <c r="G45" s="48" t="s">
        <v>397</v>
      </c>
      <c r="H45" s="94" t="s">
        <v>113</v>
      </c>
      <c r="I45" s="547"/>
      <c r="J45" s="548" t="s">
        <v>230</v>
      </c>
      <c r="K45" s="206"/>
      <c r="L45" s="207"/>
      <c r="M45" s="208"/>
      <c r="O45" s="204" t="s">
        <v>473</v>
      </c>
      <c r="P45" s="47" t="s">
        <v>4</v>
      </c>
      <c r="Q45" s="48" t="s">
        <v>444</v>
      </c>
      <c r="R45" s="48"/>
      <c r="S45" s="48"/>
      <c r="T45" s="48"/>
      <c r="U45" s="48"/>
      <c r="V45" s="48"/>
      <c r="W45" s="48"/>
      <c r="X45" s="48"/>
      <c r="Y45" s="48"/>
      <c r="Z45" s="48"/>
      <c r="AA45" s="48"/>
      <c r="AB45" s="48"/>
      <c r="AC45" s="48"/>
      <c r="AD45" s="48"/>
      <c r="AE45" s="48"/>
      <c r="AF45" s="209"/>
      <c r="AG45" s="47"/>
      <c r="AH45" s="210" t="s">
        <v>339</v>
      </c>
      <c r="AI45" s="68" t="s">
        <v>447</v>
      </c>
      <c r="AJ45" s="170">
        <v>30</v>
      </c>
      <c r="AK45" s="170">
        <v>50</v>
      </c>
      <c r="AL45" s="170">
        <v>50</v>
      </c>
      <c r="AM45" s="170">
        <v>50</v>
      </c>
      <c r="AN45" s="170">
        <v>50</v>
      </c>
      <c r="AO45" s="170">
        <v>50</v>
      </c>
      <c r="AP45" s="170">
        <v>50</v>
      </c>
      <c r="AQ45" s="170">
        <v>50</v>
      </c>
      <c r="AR45" s="170">
        <v>50</v>
      </c>
      <c r="AS45" s="170">
        <v>40</v>
      </c>
      <c r="AT45" s="170">
        <v>75</v>
      </c>
      <c r="AU45" s="170">
        <v>75</v>
      </c>
      <c r="AV45" s="170">
        <v>75</v>
      </c>
      <c r="AW45" s="170">
        <v>75</v>
      </c>
      <c r="AX45" s="170">
        <v>75</v>
      </c>
      <c r="AY45" s="170">
        <v>75</v>
      </c>
      <c r="AZ45" s="170">
        <v>75</v>
      </c>
      <c r="BA45" s="170">
        <v>75</v>
      </c>
      <c r="BB45" s="170"/>
      <c r="BC45" s="170"/>
      <c r="BD45" s="206"/>
      <c r="BE45" s="415" t="s">
        <v>349</v>
      </c>
      <c r="BF45" s="48" t="s">
        <v>323</v>
      </c>
      <c r="BG45" s="211"/>
      <c r="BH45" s="212">
        <f t="shared" ref="BH45:BP45" si="93">(1200000*40/160*13+20000+500000/52)*AJ45</f>
        <v>117888461.53846154</v>
      </c>
      <c r="BI45" s="217">
        <f t="shared" si="93"/>
        <v>196480769.23076922</v>
      </c>
      <c r="BJ45" s="217">
        <f t="shared" si="93"/>
        <v>196480769.23076922</v>
      </c>
      <c r="BK45" s="217">
        <f t="shared" si="93"/>
        <v>196480769.23076922</v>
      </c>
      <c r="BL45" s="217">
        <f t="shared" si="93"/>
        <v>196480769.23076922</v>
      </c>
      <c r="BM45" s="217">
        <f t="shared" si="93"/>
        <v>196480769.23076922</v>
      </c>
      <c r="BN45" s="217">
        <f t="shared" si="93"/>
        <v>196480769.23076922</v>
      </c>
      <c r="BO45" s="217">
        <f t="shared" si="93"/>
        <v>196480769.23076922</v>
      </c>
      <c r="BP45" s="217">
        <f t="shared" si="93"/>
        <v>196480769.23076922</v>
      </c>
      <c r="BQ45" s="213">
        <f t="shared" si="92"/>
        <v>1689734615.3846149</v>
      </c>
      <c r="BR45" s="253">
        <v>1</v>
      </c>
      <c r="BS45" s="48"/>
      <c r="BT45" s="48"/>
      <c r="BU45" s="216"/>
      <c r="BV45" s="212">
        <f>(1200000*40/160*13+20000+500000/52)*AS45+10000*550</f>
        <v>162684615.38461539</v>
      </c>
      <c r="BW45" s="217">
        <f>(1200000*40/160*13+20000+500000/52)*AT45+10000*550</f>
        <v>300221153.84615386</v>
      </c>
      <c r="BX45" s="217">
        <f t="shared" ref="BX45:CD45" si="94">(1200000*40/160*13+20000+500000/52)*AU45+10000*550</f>
        <v>300221153.84615386</v>
      </c>
      <c r="BY45" s="217">
        <f t="shared" si="94"/>
        <v>300221153.84615386</v>
      </c>
      <c r="BZ45" s="217">
        <f t="shared" si="94"/>
        <v>300221153.84615386</v>
      </c>
      <c r="CA45" s="217">
        <f t="shared" si="94"/>
        <v>300221153.84615386</v>
      </c>
      <c r="CB45" s="217">
        <f t="shared" si="94"/>
        <v>300221153.84615386</v>
      </c>
      <c r="CC45" s="217">
        <f t="shared" si="94"/>
        <v>300221153.84615386</v>
      </c>
      <c r="CD45" s="213">
        <f t="shared" si="94"/>
        <v>300221153.84615386</v>
      </c>
      <c r="CE45" s="217">
        <f>+BV45-BH45</f>
        <v>44796153.846153855</v>
      </c>
      <c r="CF45" s="170">
        <f>+BW45-BI45</f>
        <v>103740384.61538464</v>
      </c>
      <c r="CG45" s="170">
        <f t="shared" si="90"/>
        <v>103740384.61538464</v>
      </c>
      <c r="CH45" s="170">
        <f t="shared" si="90"/>
        <v>103740384.61538464</v>
      </c>
      <c r="CI45" s="170">
        <f t="shared" si="90"/>
        <v>103740384.61538464</v>
      </c>
      <c r="CJ45" s="170">
        <f t="shared" si="90"/>
        <v>103740384.61538464</v>
      </c>
      <c r="CK45" s="170">
        <f t="shared" si="90"/>
        <v>103740384.61538464</v>
      </c>
      <c r="CL45" s="170">
        <f t="shared" si="90"/>
        <v>103740384.61538464</v>
      </c>
      <c r="CM45" s="170">
        <f t="shared" si="90"/>
        <v>103740384.61538464</v>
      </c>
      <c r="CN45" s="218">
        <f t="shared" si="79"/>
        <v>874719230.76923084</v>
      </c>
      <c r="CO45" s="219"/>
      <c r="CP45" s="220"/>
      <c r="CQ45" s="220"/>
      <c r="CR45" s="210"/>
      <c r="CS45" s="210"/>
      <c r="CT45" s="210"/>
      <c r="CU45" s="210"/>
      <c r="CV45" s="221">
        <f>+CN45-CP45*550</f>
        <v>874719230.76923084</v>
      </c>
      <c r="CW45" s="222"/>
      <c r="CX45" s="309"/>
    </row>
    <row r="46" spans="1:102" ht="26.1" hidden="1" customHeight="1" x14ac:dyDescent="0.25">
      <c r="A46" s="143" t="s">
        <v>42</v>
      </c>
      <c r="B46" s="360"/>
      <c r="C46" s="447" t="s">
        <v>42</v>
      </c>
      <c r="D46" s="154" t="s">
        <v>702</v>
      </c>
      <c r="E46" s="448" t="s">
        <v>44</v>
      </c>
      <c r="F46" s="145"/>
      <c r="G46" s="60"/>
      <c r="H46" s="453"/>
      <c r="I46" s="549"/>
      <c r="J46" s="550"/>
      <c r="K46" s="147" t="s">
        <v>254</v>
      </c>
      <c r="L46" s="148" t="s">
        <v>255</v>
      </c>
      <c r="M46" s="149"/>
      <c r="O46" s="143" t="s">
        <v>42</v>
      </c>
      <c r="P46" s="150"/>
      <c r="Q46" s="145"/>
      <c r="R46" s="145"/>
      <c r="S46" s="145"/>
      <c r="T46" s="145"/>
      <c r="U46" s="145"/>
      <c r="V46" s="145"/>
      <c r="W46" s="145"/>
      <c r="X46" s="145"/>
      <c r="Y46" s="145"/>
      <c r="Z46" s="145"/>
      <c r="AA46" s="145"/>
      <c r="AB46" s="145"/>
      <c r="AC46" s="145"/>
      <c r="AD46" s="145"/>
      <c r="AE46" s="145"/>
      <c r="AF46" s="151"/>
      <c r="AG46" s="150"/>
      <c r="AH46" s="145"/>
      <c r="AI46" s="145"/>
      <c r="AJ46" s="152"/>
      <c r="AK46" s="152"/>
      <c r="AL46" s="152"/>
      <c r="AM46" s="152"/>
      <c r="AN46" s="152"/>
      <c r="AO46" s="152"/>
      <c r="AP46" s="152"/>
      <c r="AQ46" s="152"/>
      <c r="AR46" s="152"/>
      <c r="AS46" s="152"/>
      <c r="AT46" s="152"/>
      <c r="AU46" s="152"/>
      <c r="AV46" s="152"/>
      <c r="AW46" s="152"/>
      <c r="AX46" s="152"/>
      <c r="AY46" s="152"/>
      <c r="AZ46" s="152"/>
      <c r="BA46" s="152"/>
      <c r="BB46" s="152"/>
      <c r="BC46" s="254"/>
      <c r="BD46" s="150"/>
      <c r="BE46" s="154" t="s">
        <v>357</v>
      </c>
      <c r="BF46" s="155"/>
      <c r="BG46" s="156">
        <f>SUM(BG47)</f>
        <v>0</v>
      </c>
      <c r="BH46" s="157">
        <f>SUM(BH47)</f>
        <v>4400000</v>
      </c>
      <c r="BI46" s="152">
        <f>SUM(BI47)</f>
        <v>0</v>
      </c>
      <c r="BJ46" s="152">
        <f t="shared" ref="BJ46:BP46" si="95">SUM(BJ47)</f>
        <v>0</v>
      </c>
      <c r="BK46" s="152">
        <f t="shared" si="95"/>
        <v>0</v>
      </c>
      <c r="BL46" s="152">
        <f t="shared" si="95"/>
        <v>0</v>
      </c>
      <c r="BM46" s="152">
        <f t="shared" si="95"/>
        <v>0</v>
      </c>
      <c r="BN46" s="152">
        <f t="shared" si="95"/>
        <v>0</v>
      </c>
      <c r="BO46" s="152">
        <f t="shared" si="95"/>
        <v>0</v>
      </c>
      <c r="BP46" s="152">
        <f t="shared" si="95"/>
        <v>0</v>
      </c>
      <c r="BQ46" s="156">
        <f t="shared" si="92"/>
        <v>4400000</v>
      </c>
      <c r="BR46" s="158"/>
      <c r="BS46" s="145"/>
      <c r="BT46" s="145"/>
      <c r="BU46" s="159"/>
      <c r="BV46" s="157">
        <f>SUM(BV47)</f>
        <v>4400000</v>
      </c>
      <c r="BW46" s="152">
        <f>SUM(BW47)</f>
        <v>0</v>
      </c>
      <c r="BX46" s="152">
        <f t="shared" ref="BX46:CC46" si="96">SUM(BX47)</f>
        <v>0</v>
      </c>
      <c r="BY46" s="152">
        <f t="shared" si="96"/>
        <v>5500000</v>
      </c>
      <c r="BZ46" s="152">
        <f t="shared" si="96"/>
        <v>0</v>
      </c>
      <c r="CA46" s="152">
        <f t="shared" si="96"/>
        <v>0</v>
      </c>
      <c r="CB46" s="152">
        <f t="shared" si="96"/>
        <v>0</v>
      </c>
      <c r="CC46" s="152">
        <f t="shared" si="96"/>
        <v>0</v>
      </c>
      <c r="CD46" s="156">
        <f>SUM(CD47)</f>
        <v>0</v>
      </c>
      <c r="CE46" s="157">
        <f>SUM(CE47)</f>
        <v>0</v>
      </c>
      <c r="CF46" s="152">
        <f>SUM(CF47)</f>
        <v>0</v>
      </c>
      <c r="CG46" s="152">
        <f t="shared" ref="CG46:CM46" si="97">SUM(CG47)</f>
        <v>0</v>
      </c>
      <c r="CH46" s="152">
        <f t="shared" si="97"/>
        <v>5500000</v>
      </c>
      <c r="CI46" s="152">
        <f t="shared" si="97"/>
        <v>0</v>
      </c>
      <c r="CJ46" s="152">
        <f t="shared" si="97"/>
        <v>0</v>
      </c>
      <c r="CK46" s="152">
        <f t="shared" si="97"/>
        <v>0</v>
      </c>
      <c r="CL46" s="152">
        <f t="shared" si="97"/>
        <v>0</v>
      </c>
      <c r="CM46" s="152">
        <f t="shared" si="97"/>
        <v>0</v>
      </c>
      <c r="CN46" s="156">
        <f t="shared" ref="CN46:CN55" si="98">SUM(CE46:CM46)</f>
        <v>5500000</v>
      </c>
      <c r="CO46" s="158"/>
      <c r="CP46" s="160">
        <f>SUM(CP47)</f>
        <v>0</v>
      </c>
      <c r="CQ46" s="145"/>
      <c r="CR46" s="145"/>
      <c r="CS46" s="145"/>
      <c r="CT46" s="145"/>
      <c r="CU46" s="145"/>
      <c r="CV46" s="161">
        <f>SUM(CV47)</f>
        <v>5500000</v>
      </c>
      <c r="CW46" s="151"/>
      <c r="CX46" s="162"/>
    </row>
    <row r="47" spans="1:102" ht="26.1" customHeight="1" x14ac:dyDescent="0.25">
      <c r="A47" s="204" t="s">
        <v>43</v>
      </c>
      <c r="B47" s="362"/>
      <c r="C47" s="450" t="s">
        <v>448</v>
      </c>
      <c r="D47" s="451" t="s">
        <v>703</v>
      </c>
      <c r="E47" s="48" t="s">
        <v>44</v>
      </c>
      <c r="F47" s="48" t="s">
        <v>405</v>
      </c>
      <c r="G47" s="48" t="s">
        <v>450</v>
      </c>
      <c r="H47" s="94" t="s">
        <v>113</v>
      </c>
      <c r="I47" s="547"/>
      <c r="J47" s="548" t="s">
        <v>230</v>
      </c>
      <c r="K47" s="206"/>
      <c r="L47" s="207"/>
      <c r="M47" s="208"/>
      <c r="O47" s="204" t="s">
        <v>448</v>
      </c>
      <c r="P47" s="47" t="s">
        <v>44</v>
      </c>
      <c r="Q47" s="48" t="s">
        <v>450</v>
      </c>
      <c r="R47" s="48" t="s">
        <v>314</v>
      </c>
      <c r="S47" s="48" t="s">
        <v>314</v>
      </c>
      <c r="T47" s="48" t="s">
        <v>314</v>
      </c>
      <c r="U47" s="48"/>
      <c r="V47" s="48" t="s">
        <v>314</v>
      </c>
      <c r="W47" s="48"/>
      <c r="X47" s="48" t="s">
        <v>307</v>
      </c>
      <c r="Y47" s="48"/>
      <c r="Z47" s="48"/>
      <c r="AA47" s="48"/>
      <c r="AB47" s="48"/>
      <c r="AC47" s="48"/>
      <c r="AD47" s="48"/>
      <c r="AE47" s="48"/>
      <c r="AF47" s="209"/>
      <c r="AG47" s="47" t="s">
        <v>315</v>
      </c>
      <c r="AH47" s="210" t="s">
        <v>319</v>
      </c>
      <c r="AI47" s="68" t="s">
        <v>449</v>
      </c>
      <c r="AJ47" s="170">
        <v>0</v>
      </c>
      <c r="AK47" s="170">
        <v>0</v>
      </c>
      <c r="AL47" s="170">
        <v>0</v>
      </c>
      <c r="AM47" s="170">
        <v>0</v>
      </c>
      <c r="AN47" s="170">
        <v>1</v>
      </c>
      <c r="AO47" s="170">
        <v>0</v>
      </c>
      <c r="AP47" s="170">
        <v>0</v>
      </c>
      <c r="AQ47" s="170">
        <v>0</v>
      </c>
      <c r="AR47" s="170">
        <v>0</v>
      </c>
      <c r="AS47" s="170">
        <v>0</v>
      </c>
      <c r="AT47" s="170">
        <v>0</v>
      </c>
      <c r="AU47" s="170">
        <v>0</v>
      </c>
      <c r="AV47" s="170">
        <v>0</v>
      </c>
      <c r="AW47" s="170">
        <v>1</v>
      </c>
      <c r="AX47" s="170">
        <v>0</v>
      </c>
      <c r="AY47" s="170">
        <v>0</v>
      </c>
      <c r="AZ47" s="170">
        <v>0</v>
      </c>
      <c r="BA47" s="170">
        <v>0</v>
      </c>
      <c r="BB47" s="170"/>
      <c r="BC47" s="170"/>
      <c r="BD47" s="206" t="s">
        <v>446</v>
      </c>
      <c r="BE47" s="257" t="s">
        <v>349</v>
      </c>
      <c r="BF47" s="48" t="s">
        <v>313</v>
      </c>
      <c r="BG47" s="211"/>
      <c r="BH47" s="212">
        <f>8000*550</f>
        <v>4400000</v>
      </c>
      <c r="BI47" s="170">
        <v>0</v>
      </c>
      <c r="BJ47" s="170">
        <v>0</v>
      </c>
      <c r="BK47" s="170">
        <v>0</v>
      </c>
      <c r="BL47" s="170">
        <v>0</v>
      </c>
      <c r="BM47" s="170">
        <v>0</v>
      </c>
      <c r="BN47" s="170">
        <v>0</v>
      </c>
      <c r="BO47" s="170">
        <v>0</v>
      </c>
      <c r="BP47" s="170">
        <v>0</v>
      </c>
      <c r="BQ47" s="213">
        <f t="shared" si="92"/>
        <v>4400000</v>
      </c>
      <c r="BR47" s="214"/>
      <c r="BS47" s="48"/>
      <c r="BT47" s="215">
        <v>1</v>
      </c>
      <c r="BU47" s="216" t="s">
        <v>388</v>
      </c>
      <c r="BV47" s="212">
        <f>8000*550</f>
        <v>4400000</v>
      </c>
      <c r="BW47" s="170">
        <v>0</v>
      </c>
      <c r="BX47" s="170">
        <v>0</v>
      </c>
      <c r="BY47" s="170">
        <f>10000*550</f>
        <v>5500000</v>
      </c>
      <c r="BZ47" s="170">
        <v>0</v>
      </c>
      <c r="CA47" s="170">
        <v>0</v>
      </c>
      <c r="CB47" s="170">
        <v>0</v>
      </c>
      <c r="CC47" s="170">
        <v>0</v>
      </c>
      <c r="CD47" s="213">
        <v>0</v>
      </c>
      <c r="CE47" s="217">
        <f>+BV47-BH47</f>
        <v>0</v>
      </c>
      <c r="CF47" s="217">
        <f>+BW47-BI47</f>
        <v>0</v>
      </c>
      <c r="CG47" s="217">
        <f t="shared" ref="CG47:CM47" si="99">+BX47-BJ47</f>
        <v>0</v>
      </c>
      <c r="CH47" s="217">
        <f t="shared" si="99"/>
        <v>5500000</v>
      </c>
      <c r="CI47" s="217">
        <f t="shared" si="99"/>
        <v>0</v>
      </c>
      <c r="CJ47" s="217">
        <f t="shared" si="99"/>
        <v>0</v>
      </c>
      <c r="CK47" s="217">
        <f t="shared" si="99"/>
        <v>0</v>
      </c>
      <c r="CL47" s="217">
        <f t="shared" si="99"/>
        <v>0</v>
      </c>
      <c r="CM47" s="217">
        <f t="shared" si="99"/>
        <v>0</v>
      </c>
      <c r="CN47" s="218">
        <f>SUM(CE47:CM47)</f>
        <v>5500000</v>
      </c>
      <c r="CO47" s="219"/>
      <c r="CP47" s="220"/>
      <c r="CQ47" s="220"/>
      <c r="CR47" s="210"/>
      <c r="CS47" s="210"/>
      <c r="CT47" s="210"/>
      <c r="CU47" s="210"/>
      <c r="CV47" s="221">
        <f>+CN47-CP47*550</f>
        <v>5500000</v>
      </c>
      <c r="CW47" s="222"/>
      <c r="CX47" s="248"/>
    </row>
    <row r="48" spans="1:102" ht="26.1" hidden="1" customHeight="1" x14ac:dyDescent="0.25">
      <c r="A48" s="143" t="s">
        <v>45</v>
      </c>
      <c r="B48" s="360"/>
      <c r="C48" s="447" t="s">
        <v>45</v>
      </c>
      <c r="D48" s="154" t="s">
        <v>704</v>
      </c>
      <c r="E48" s="448" t="s">
        <v>4</v>
      </c>
      <c r="F48" s="145"/>
      <c r="G48" s="60"/>
      <c r="H48" s="453"/>
      <c r="I48" s="549"/>
      <c r="J48" s="550"/>
      <c r="K48" s="147" t="s">
        <v>254</v>
      </c>
      <c r="L48" s="148" t="s">
        <v>255</v>
      </c>
      <c r="M48" s="149" t="s">
        <v>256</v>
      </c>
      <c r="O48" s="143" t="s">
        <v>45</v>
      </c>
      <c r="P48" s="150"/>
      <c r="Q48" s="145"/>
      <c r="R48" s="145"/>
      <c r="S48" s="145"/>
      <c r="T48" s="145"/>
      <c r="U48" s="145"/>
      <c r="V48" s="145"/>
      <c r="W48" s="145"/>
      <c r="X48" s="145"/>
      <c r="Y48" s="145"/>
      <c r="Z48" s="145"/>
      <c r="AA48" s="145"/>
      <c r="AB48" s="145"/>
      <c r="AC48" s="145"/>
      <c r="AD48" s="145"/>
      <c r="AE48" s="145"/>
      <c r="AF48" s="151"/>
      <c r="AG48" s="150"/>
      <c r="AH48" s="145"/>
      <c r="AI48" s="145"/>
      <c r="AJ48" s="152"/>
      <c r="AK48" s="152"/>
      <c r="AL48" s="152"/>
      <c r="AM48" s="152"/>
      <c r="AN48" s="152"/>
      <c r="AO48" s="152"/>
      <c r="AP48" s="152"/>
      <c r="AQ48" s="152"/>
      <c r="AR48" s="152"/>
      <c r="AS48" s="152"/>
      <c r="AT48" s="152"/>
      <c r="AU48" s="152"/>
      <c r="AV48" s="152"/>
      <c r="AW48" s="152"/>
      <c r="AX48" s="152"/>
      <c r="AY48" s="152"/>
      <c r="AZ48" s="152"/>
      <c r="BA48" s="152"/>
      <c r="BB48" s="152"/>
      <c r="BC48" s="254"/>
      <c r="BD48" s="150"/>
      <c r="BE48" s="154" t="s">
        <v>355</v>
      </c>
      <c r="BF48" s="155"/>
      <c r="BG48" s="156">
        <f>SUM(BG49)</f>
        <v>30000000</v>
      </c>
      <c r="BH48" s="157">
        <f>SUM(BH49)</f>
        <v>21000000</v>
      </c>
      <c r="BI48" s="152">
        <f>SUM(BI49)</f>
        <v>11000000</v>
      </c>
      <c r="BJ48" s="152">
        <f t="shared" ref="BJ48:BP48" si="100">SUM(BJ49)</f>
        <v>11000000</v>
      </c>
      <c r="BK48" s="152">
        <f t="shared" si="100"/>
        <v>11000000</v>
      </c>
      <c r="BL48" s="152">
        <f t="shared" si="100"/>
        <v>11000000</v>
      </c>
      <c r="BM48" s="152">
        <f t="shared" si="100"/>
        <v>11000000</v>
      </c>
      <c r="BN48" s="152">
        <f t="shared" si="100"/>
        <v>11000000</v>
      </c>
      <c r="BO48" s="152">
        <f t="shared" si="100"/>
        <v>11000000</v>
      </c>
      <c r="BP48" s="152">
        <f t="shared" si="100"/>
        <v>11000000</v>
      </c>
      <c r="BQ48" s="156">
        <f t="shared" si="92"/>
        <v>109000000</v>
      </c>
      <c r="BR48" s="158"/>
      <c r="BS48" s="145"/>
      <c r="BT48" s="145"/>
      <c r="BU48" s="159"/>
      <c r="BV48" s="157">
        <f>SUM(BV49)</f>
        <v>14000000</v>
      </c>
      <c r="BW48" s="152">
        <f>SUM(BW49)</f>
        <v>15000000</v>
      </c>
      <c r="BX48" s="152">
        <f t="shared" ref="BX48:CC48" si="101">SUM(BX49)</f>
        <v>24500000</v>
      </c>
      <c r="BY48" s="152">
        <f t="shared" si="101"/>
        <v>21500000</v>
      </c>
      <c r="BZ48" s="152">
        <f t="shared" si="101"/>
        <v>19000000</v>
      </c>
      <c r="CA48" s="152">
        <f t="shared" si="101"/>
        <v>19000000</v>
      </c>
      <c r="CB48" s="152">
        <f t="shared" si="101"/>
        <v>19000000</v>
      </c>
      <c r="CC48" s="152">
        <f t="shared" si="101"/>
        <v>19000000</v>
      </c>
      <c r="CD48" s="156">
        <f>SUM(CD49)</f>
        <v>19000000</v>
      </c>
      <c r="CE48" s="157">
        <f>SUM(CE49)</f>
        <v>-7000000</v>
      </c>
      <c r="CF48" s="152">
        <f>SUM(CF49)</f>
        <v>4000000</v>
      </c>
      <c r="CG48" s="152">
        <f t="shared" ref="CG48:CM48" si="102">SUM(CG49)</f>
        <v>13500000</v>
      </c>
      <c r="CH48" s="152">
        <f t="shared" si="102"/>
        <v>10500000</v>
      </c>
      <c r="CI48" s="152">
        <f t="shared" si="102"/>
        <v>8000000</v>
      </c>
      <c r="CJ48" s="152">
        <f t="shared" si="102"/>
        <v>8000000</v>
      </c>
      <c r="CK48" s="152">
        <f t="shared" si="102"/>
        <v>8000000</v>
      </c>
      <c r="CL48" s="152">
        <f t="shared" si="102"/>
        <v>8000000</v>
      </c>
      <c r="CM48" s="152">
        <f t="shared" si="102"/>
        <v>8000000</v>
      </c>
      <c r="CN48" s="156">
        <f t="shared" si="98"/>
        <v>61000000</v>
      </c>
      <c r="CO48" s="158"/>
      <c r="CP48" s="160">
        <f>SUM(CP49)</f>
        <v>0</v>
      </c>
      <c r="CQ48" s="145"/>
      <c r="CR48" s="145"/>
      <c r="CS48" s="145"/>
      <c r="CT48" s="145"/>
      <c r="CU48" s="145"/>
      <c r="CV48" s="161">
        <f>SUM(CV49)</f>
        <v>61000000</v>
      </c>
      <c r="CW48" s="151"/>
      <c r="CX48" s="162"/>
    </row>
    <row r="49" spans="1:102" ht="26.1" customHeight="1" x14ac:dyDescent="0.25">
      <c r="A49" s="204" t="s">
        <v>510</v>
      </c>
      <c r="B49" s="362"/>
      <c r="C49" s="450" t="s">
        <v>510</v>
      </c>
      <c r="D49" s="451" t="s">
        <v>705</v>
      </c>
      <c r="E49" s="48" t="s">
        <v>4</v>
      </c>
      <c r="F49" s="48" t="s">
        <v>404</v>
      </c>
      <c r="G49" s="48" t="s">
        <v>394</v>
      </c>
      <c r="H49" s="455" t="s">
        <v>115</v>
      </c>
      <c r="I49" s="547"/>
      <c r="J49" s="548" t="s">
        <v>234</v>
      </c>
      <c r="K49" s="206"/>
      <c r="L49" s="207"/>
      <c r="M49" s="208"/>
      <c r="O49" s="204" t="s">
        <v>510</v>
      </c>
      <c r="P49" s="47" t="s">
        <v>4</v>
      </c>
      <c r="Q49" s="48" t="s">
        <v>451</v>
      </c>
      <c r="R49" s="50"/>
      <c r="S49" s="50"/>
      <c r="T49" s="50"/>
      <c r="U49" s="50"/>
      <c r="V49" s="50"/>
      <c r="W49" s="50"/>
      <c r="X49" s="50" t="s">
        <v>307</v>
      </c>
      <c r="Y49" s="50"/>
      <c r="Z49" s="50"/>
      <c r="AA49" s="50"/>
      <c r="AB49" s="50"/>
      <c r="AC49" s="50"/>
      <c r="AD49" s="50"/>
      <c r="AE49" s="50"/>
      <c r="AF49" s="259"/>
      <c r="AG49" s="47" t="s">
        <v>308</v>
      </c>
      <c r="AH49" s="210" t="s">
        <v>309</v>
      </c>
      <c r="AI49" s="68" t="s">
        <v>310</v>
      </c>
      <c r="AJ49" s="170">
        <v>1</v>
      </c>
      <c r="AK49" s="170">
        <v>1</v>
      </c>
      <c r="AL49" s="170">
        <v>1</v>
      </c>
      <c r="AM49" s="170">
        <v>1</v>
      </c>
      <c r="AN49" s="170">
        <v>1</v>
      </c>
      <c r="AO49" s="170">
        <v>1</v>
      </c>
      <c r="AP49" s="170">
        <v>1</v>
      </c>
      <c r="AQ49" s="170">
        <v>1</v>
      </c>
      <c r="AR49" s="170">
        <v>1</v>
      </c>
      <c r="AS49" s="170">
        <v>2</v>
      </c>
      <c r="AT49" s="170">
        <v>4</v>
      </c>
      <c r="AU49" s="170">
        <v>5</v>
      </c>
      <c r="AV49" s="170">
        <v>4</v>
      </c>
      <c r="AW49" s="170">
        <v>4</v>
      </c>
      <c r="AX49" s="170">
        <v>4</v>
      </c>
      <c r="AY49" s="170">
        <v>4</v>
      </c>
      <c r="AZ49" s="170">
        <v>4</v>
      </c>
      <c r="BA49" s="170">
        <v>4</v>
      </c>
      <c r="BB49" s="170">
        <v>10</v>
      </c>
      <c r="BC49" s="260">
        <v>20</v>
      </c>
      <c r="BD49" s="206" t="s">
        <v>311</v>
      </c>
      <c r="BE49" s="68" t="s">
        <v>312</v>
      </c>
      <c r="BF49" s="48" t="s">
        <v>313</v>
      </c>
      <c r="BG49" s="269">
        <v>30000000</v>
      </c>
      <c r="BH49" s="212">
        <v>21000000</v>
      </c>
      <c r="BI49" s="170">
        <v>11000000</v>
      </c>
      <c r="BJ49" s="170">
        <v>11000000</v>
      </c>
      <c r="BK49" s="170">
        <v>11000000</v>
      </c>
      <c r="BL49" s="170">
        <v>11000000</v>
      </c>
      <c r="BM49" s="170">
        <v>11000000</v>
      </c>
      <c r="BN49" s="170">
        <v>11000000</v>
      </c>
      <c r="BO49" s="170">
        <v>11000000</v>
      </c>
      <c r="BP49" s="170">
        <v>11000000</v>
      </c>
      <c r="BQ49" s="213">
        <f t="shared" si="92"/>
        <v>109000000</v>
      </c>
      <c r="BR49" s="270">
        <v>0.85</v>
      </c>
      <c r="BS49" s="48"/>
      <c r="BT49" s="215">
        <v>0.15</v>
      </c>
      <c r="BU49" s="243" t="s">
        <v>388</v>
      </c>
      <c r="BV49" s="310">
        <v>14000000</v>
      </c>
      <c r="BW49" s="311">
        <v>15000000</v>
      </c>
      <c r="BX49" s="311">
        <v>24500000</v>
      </c>
      <c r="BY49" s="170">
        <v>21500000</v>
      </c>
      <c r="BZ49" s="170">
        <v>19000000</v>
      </c>
      <c r="CA49" s="170">
        <v>19000000</v>
      </c>
      <c r="CB49" s="170">
        <v>19000000</v>
      </c>
      <c r="CC49" s="170">
        <v>19000000</v>
      </c>
      <c r="CD49" s="213">
        <v>19000000</v>
      </c>
      <c r="CE49" s="212">
        <f>+BV49-BH49</f>
        <v>-7000000</v>
      </c>
      <c r="CF49" s="170">
        <f>+BW49-BI49</f>
        <v>4000000</v>
      </c>
      <c r="CG49" s="170">
        <f t="shared" ref="CG49:CM49" si="103">+BX49-BJ49</f>
        <v>13500000</v>
      </c>
      <c r="CH49" s="170">
        <f t="shared" si="103"/>
        <v>10500000</v>
      </c>
      <c r="CI49" s="170">
        <f t="shared" si="103"/>
        <v>8000000</v>
      </c>
      <c r="CJ49" s="170">
        <f t="shared" si="103"/>
        <v>8000000</v>
      </c>
      <c r="CK49" s="170">
        <f t="shared" si="103"/>
        <v>8000000</v>
      </c>
      <c r="CL49" s="170">
        <f t="shared" si="103"/>
        <v>8000000</v>
      </c>
      <c r="CM49" s="170">
        <f t="shared" si="103"/>
        <v>8000000</v>
      </c>
      <c r="CN49" s="213">
        <f t="shared" si="98"/>
        <v>61000000</v>
      </c>
      <c r="CO49" s="219"/>
      <c r="CP49" s="220"/>
      <c r="CQ49" s="220"/>
      <c r="CR49" s="210"/>
      <c r="CS49" s="210"/>
      <c r="CT49" s="210"/>
      <c r="CU49" s="210"/>
      <c r="CV49" s="221">
        <f>+CN49-CP49*550</f>
        <v>61000000</v>
      </c>
      <c r="CW49" s="222"/>
      <c r="CX49" s="246"/>
    </row>
    <row r="50" spans="1:102" ht="26.1" hidden="1" customHeight="1" x14ac:dyDescent="0.25">
      <c r="A50" s="143" t="s">
        <v>46</v>
      </c>
      <c r="B50" s="360"/>
      <c r="C50" s="447" t="s">
        <v>46</v>
      </c>
      <c r="D50" s="154" t="s">
        <v>706</v>
      </c>
      <c r="E50" s="448" t="s">
        <v>2</v>
      </c>
      <c r="F50" s="145"/>
      <c r="G50" s="60"/>
      <c r="H50" s="453"/>
      <c r="I50" s="549"/>
      <c r="J50" s="550"/>
      <c r="K50" s="147" t="s">
        <v>255</v>
      </c>
      <c r="L50" s="148" t="s">
        <v>256</v>
      </c>
      <c r="M50" s="149"/>
      <c r="O50" s="143" t="s">
        <v>46</v>
      </c>
      <c r="P50" s="150"/>
      <c r="Q50" s="145"/>
      <c r="R50" s="145"/>
      <c r="S50" s="145"/>
      <c r="T50" s="145"/>
      <c r="U50" s="145"/>
      <c r="V50" s="145"/>
      <c r="W50" s="145"/>
      <c r="X50" s="145"/>
      <c r="Y50" s="145"/>
      <c r="Z50" s="145"/>
      <c r="AA50" s="145"/>
      <c r="AB50" s="145"/>
      <c r="AC50" s="145"/>
      <c r="AD50" s="145"/>
      <c r="AE50" s="145"/>
      <c r="AF50" s="151"/>
      <c r="AG50" s="150"/>
      <c r="AH50" s="145"/>
      <c r="AI50" s="145"/>
      <c r="AJ50" s="152"/>
      <c r="AK50" s="152"/>
      <c r="AL50" s="152"/>
      <c r="AM50" s="152"/>
      <c r="AN50" s="152"/>
      <c r="AO50" s="152"/>
      <c r="AP50" s="152"/>
      <c r="AQ50" s="152"/>
      <c r="AR50" s="152"/>
      <c r="AS50" s="152"/>
      <c r="AT50" s="152"/>
      <c r="AU50" s="152"/>
      <c r="AV50" s="152"/>
      <c r="AW50" s="152"/>
      <c r="AX50" s="152"/>
      <c r="AY50" s="152"/>
      <c r="AZ50" s="152"/>
      <c r="BA50" s="152"/>
      <c r="BB50" s="152"/>
      <c r="BC50" s="254"/>
      <c r="BD50" s="150"/>
      <c r="BE50" s="154" t="s">
        <v>355</v>
      </c>
      <c r="BF50" s="155"/>
      <c r="BG50" s="156">
        <f>SUM(BG51)</f>
        <v>0</v>
      </c>
      <c r="BH50" s="157">
        <f>SUM(BH51)</f>
        <v>0</v>
      </c>
      <c r="BI50" s="152">
        <f>SUM(BI51)</f>
        <v>0</v>
      </c>
      <c r="BJ50" s="152">
        <f t="shared" ref="BJ50:BP50" si="104">SUM(BJ51)</f>
        <v>0</v>
      </c>
      <c r="BK50" s="152">
        <f t="shared" si="104"/>
        <v>0</v>
      </c>
      <c r="BL50" s="152">
        <f t="shared" si="104"/>
        <v>0</v>
      </c>
      <c r="BM50" s="152">
        <f t="shared" si="104"/>
        <v>0</v>
      </c>
      <c r="BN50" s="152">
        <f t="shared" si="104"/>
        <v>0</v>
      </c>
      <c r="BO50" s="152">
        <f t="shared" si="104"/>
        <v>0</v>
      </c>
      <c r="BP50" s="152">
        <f t="shared" si="104"/>
        <v>0</v>
      </c>
      <c r="BQ50" s="156">
        <f t="shared" si="92"/>
        <v>0</v>
      </c>
      <c r="BR50" s="158"/>
      <c r="BS50" s="145"/>
      <c r="BT50" s="145"/>
      <c r="BU50" s="159"/>
      <c r="BV50" s="157">
        <f>SUM(BV51)</f>
        <v>1800000</v>
      </c>
      <c r="BW50" s="152">
        <f>SUM(BW51)</f>
        <v>1800000</v>
      </c>
      <c r="BX50" s="152">
        <f t="shared" ref="BX50:CC50" si="105">SUM(BX51)</f>
        <v>1800000</v>
      </c>
      <c r="BY50" s="152">
        <f t="shared" si="105"/>
        <v>1800000</v>
      </c>
      <c r="BZ50" s="152">
        <f t="shared" si="105"/>
        <v>1800000</v>
      </c>
      <c r="CA50" s="152">
        <f t="shared" si="105"/>
        <v>1800000</v>
      </c>
      <c r="CB50" s="152">
        <f t="shared" si="105"/>
        <v>1800000</v>
      </c>
      <c r="CC50" s="152">
        <f t="shared" si="105"/>
        <v>1800000</v>
      </c>
      <c r="CD50" s="156">
        <f>SUM(CD51)</f>
        <v>1800000</v>
      </c>
      <c r="CE50" s="157">
        <f>SUM(CE51)</f>
        <v>1800000</v>
      </c>
      <c r="CF50" s="152">
        <f>SUM(CF51)</f>
        <v>1800000</v>
      </c>
      <c r="CG50" s="152">
        <f t="shared" ref="CG50:CM50" si="106">SUM(CG51)</f>
        <v>1800000</v>
      </c>
      <c r="CH50" s="152">
        <f t="shared" si="106"/>
        <v>1800000</v>
      </c>
      <c r="CI50" s="152">
        <f t="shared" si="106"/>
        <v>1800000</v>
      </c>
      <c r="CJ50" s="152">
        <f t="shared" si="106"/>
        <v>1800000</v>
      </c>
      <c r="CK50" s="152">
        <f t="shared" si="106"/>
        <v>1800000</v>
      </c>
      <c r="CL50" s="152">
        <f t="shared" si="106"/>
        <v>1800000</v>
      </c>
      <c r="CM50" s="152">
        <f t="shared" si="106"/>
        <v>1800000</v>
      </c>
      <c r="CN50" s="156">
        <f t="shared" si="98"/>
        <v>16200000</v>
      </c>
      <c r="CO50" s="158"/>
      <c r="CP50" s="160">
        <f>SUM(CP51)</f>
        <v>0</v>
      </c>
      <c r="CQ50" s="145"/>
      <c r="CR50" s="145"/>
      <c r="CS50" s="145"/>
      <c r="CT50" s="145"/>
      <c r="CU50" s="145"/>
      <c r="CV50" s="161">
        <f>SUM(CV51)</f>
        <v>16200000</v>
      </c>
      <c r="CW50" s="151"/>
      <c r="CX50" s="162"/>
    </row>
    <row r="51" spans="1:102" ht="26.1" customHeight="1" x14ac:dyDescent="0.25">
      <c r="A51" s="312" t="s">
        <v>47</v>
      </c>
      <c r="B51" s="364"/>
      <c r="C51" s="459" t="s">
        <v>47</v>
      </c>
      <c r="D51" s="451" t="s">
        <v>707</v>
      </c>
      <c r="E51" s="48" t="s">
        <v>2</v>
      </c>
      <c r="F51" s="424" t="s">
        <v>403</v>
      </c>
      <c r="G51" s="48" t="s">
        <v>393</v>
      </c>
      <c r="H51" s="94" t="s">
        <v>102</v>
      </c>
      <c r="I51" s="547"/>
      <c r="J51" s="548" t="s">
        <v>230</v>
      </c>
      <c r="K51" s="206"/>
      <c r="L51" s="207"/>
      <c r="M51" s="208"/>
      <c r="O51" s="312" t="s">
        <v>47</v>
      </c>
      <c r="P51" s="313" t="s">
        <v>3</v>
      </c>
      <c r="Q51" s="77" t="s">
        <v>403</v>
      </c>
      <c r="R51" s="77"/>
      <c r="S51" s="77" t="s">
        <v>314</v>
      </c>
      <c r="T51" s="77" t="s">
        <v>314</v>
      </c>
      <c r="U51" s="77"/>
      <c r="V51" s="77" t="s">
        <v>314</v>
      </c>
      <c r="W51" s="77"/>
      <c r="X51" s="77" t="s">
        <v>307</v>
      </c>
      <c r="Y51" s="77"/>
      <c r="Z51" s="77"/>
      <c r="AA51" s="77"/>
      <c r="AB51" s="77"/>
      <c r="AC51" s="77" t="s">
        <v>314</v>
      </c>
      <c r="AD51" s="77"/>
      <c r="AE51" s="77"/>
      <c r="AF51" s="314"/>
      <c r="AG51" s="313" t="s">
        <v>315</v>
      </c>
      <c r="AH51" s="315" t="s">
        <v>319</v>
      </c>
      <c r="AI51" s="477" t="s">
        <v>484</v>
      </c>
      <c r="AJ51" s="317">
        <v>0</v>
      </c>
      <c r="AK51" s="317">
        <v>0</v>
      </c>
      <c r="AL51" s="317">
        <v>0</v>
      </c>
      <c r="AM51" s="317">
        <v>0</v>
      </c>
      <c r="AN51" s="317">
        <v>0</v>
      </c>
      <c r="AO51" s="317">
        <v>0</v>
      </c>
      <c r="AP51" s="317">
        <v>0</v>
      </c>
      <c r="AQ51" s="317">
        <v>0</v>
      </c>
      <c r="AR51" s="317">
        <v>0</v>
      </c>
      <c r="AS51" s="317">
        <v>6</v>
      </c>
      <c r="AT51" s="317">
        <v>6</v>
      </c>
      <c r="AU51" s="317">
        <v>6</v>
      </c>
      <c r="AV51" s="317">
        <v>6</v>
      </c>
      <c r="AW51" s="317">
        <v>6</v>
      </c>
      <c r="AX51" s="317">
        <v>6</v>
      </c>
      <c r="AY51" s="317">
        <v>6</v>
      </c>
      <c r="AZ51" s="317">
        <v>6</v>
      </c>
      <c r="BA51" s="317">
        <v>6</v>
      </c>
      <c r="BB51" s="317"/>
      <c r="BC51" s="318"/>
      <c r="BD51" s="319" t="s">
        <v>4</v>
      </c>
      <c r="BE51" s="68" t="s">
        <v>312</v>
      </c>
      <c r="BF51" s="77" t="s">
        <v>323</v>
      </c>
      <c r="BG51" s="320"/>
      <c r="BH51" s="321"/>
      <c r="BI51" s="317">
        <v>0</v>
      </c>
      <c r="BJ51" s="317">
        <v>0</v>
      </c>
      <c r="BK51" s="317">
        <v>0</v>
      </c>
      <c r="BL51" s="317">
        <v>0</v>
      </c>
      <c r="BM51" s="317">
        <v>0</v>
      </c>
      <c r="BN51" s="317">
        <v>0</v>
      </c>
      <c r="BO51" s="317">
        <v>0</v>
      </c>
      <c r="BP51" s="317">
        <v>0</v>
      </c>
      <c r="BQ51" s="213">
        <f t="shared" si="92"/>
        <v>0</v>
      </c>
      <c r="BR51" s="322"/>
      <c r="BS51" s="77"/>
      <c r="BT51" s="77"/>
      <c r="BU51" s="323"/>
      <c r="BV51" s="321">
        <f>+AS51*300000</f>
        <v>1800000</v>
      </c>
      <c r="BW51" s="317">
        <f t="shared" ref="BW51:CD51" si="107">+AT51*300000</f>
        <v>1800000</v>
      </c>
      <c r="BX51" s="317">
        <f t="shared" si="107"/>
        <v>1800000</v>
      </c>
      <c r="BY51" s="317">
        <f t="shared" si="107"/>
        <v>1800000</v>
      </c>
      <c r="BZ51" s="317">
        <f t="shared" si="107"/>
        <v>1800000</v>
      </c>
      <c r="CA51" s="317">
        <f t="shared" si="107"/>
        <v>1800000</v>
      </c>
      <c r="CB51" s="317">
        <f t="shared" si="107"/>
        <v>1800000</v>
      </c>
      <c r="CC51" s="317">
        <f t="shared" si="107"/>
        <v>1800000</v>
      </c>
      <c r="CD51" s="324">
        <f t="shared" si="107"/>
        <v>1800000</v>
      </c>
      <c r="CE51" s="217">
        <f>+BV51-BH51</f>
        <v>1800000</v>
      </c>
      <c r="CF51" s="170">
        <f>+BW51-BI51</f>
        <v>1800000</v>
      </c>
      <c r="CG51" s="170">
        <f t="shared" ref="CG51:CM51" si="108">+BX51-BJ51</f>
        <v>1800000</v>
      </c>
      <c r="CH51" s="170">
        <f t="shared" si="108"/>
        <v>1800000</v>
      </c>
      <c r="CI51" s="170">
        <f t="shared" si="108"/>
        <v>1800000</v>
      </c>
      <c r="CJ51" s="170">
        <f t="shared" si="108"/>
        <v>1800000</v>
      </c>
      <c r="CK51" s="170">
        <f t="shared" si="108"/>
        <v>1800000</v>
      </c>
      <c r="CL51" s="170">
        <f t="shared" si="108"/>
        <v>1800000</v>
      </c>
      <c r="CM51" s="170">
        <f t="shared" si="108"/>
        <v>1800000</v>
      </c>
      <c r="CN51" s="218">
        <f>SUM(CE51:CM51)</f>
        <v>16200000</v>
      </c>
      <c r="CO51" s="325"/>
      <c r="CP51" s="326"/>
      <c r="CQ51" s="326"/>
      <c r="CR51" s="315"/>
      <c r="CS51" s="315"/>
      <c r="CT51" s="315"/>
      <c r="CU51" s="315"/>
      <c r="CV51" s="221">
        <f>+CN51-CP51*550</f>
        <v>16200000</v>
      </c>
      <c r="CW51" s="327"/>
      <c r="CX51" s="328"/>
    </row>
    <row r="52" spans="1:102" ht="26.1" hidden="1" customHeight="1" x14ac:dyDescent="0.25">
      <c r="A52" s="286" t="s">
        <v>48</v>
      </c>
      <c r="B52" s="359"/>
      <c r="C52" s="457" t="s">
        <v>48</v>
      </c>
      <c r="D52" s="65" t="s">
        <v>708</v>
      </c>
      <c r="E52" s="64" t="s">
        <v>490</v>
      </c>
      <c r="F52" s="288"/>
      <c r="G52" s="64"/>
      <c r="H52" s="458"/>
      <c r="I52" s="555"/>
      <c r="J52" s="556"/>
      <c r="K52" s="289" t="s">
        <v>258</v>
      </c>
      <c r="L52" s="290"/>
      <c r="M52" s="291"/>
      <c r="O52" s="286" t="s">
        <v>48</v>
      </c>
      <c r="P52" s="292"/>
      <c r="Q52" s="288"/>
      <c r="R52" s="288"/>
      <c r="S52" s="288"/>
      <c r="T52" s="288"/>
      <c r="U52" s="288"/>
      <c r="V52" s="288"/>
      <c r="W52" s="288"/>
      <c r="X52" s="288"/>
      <c r="Y52" s="288"/>
      <c r="Z52" s="288"/>
      <c r="AA52" s="288"/>
      <c r="AB52" s="288"/>
      <c r="AC52" s="288"/>
      <c r="AD52" s="288"/>
      <c r="AE52" s="288"/>
      <c r="AF52" s="293"/>
      <c r="AG52" s="292"/>
      <c r="AH52" s="288"/>
      <c r="AI52" s="288"/>
      <c r="AJ52" s="294"/>
      <c r="AK52" s="294"/>
      <c r="AL52" s="294"/>
      <c r="AM52" s="294"/>
      <c r="AN52" s="294"/>
      <c r="AO52" s="294"/>
      <c r="AP52" s="294"/>
      <c r="AQ52" s="294"/>
      <c r="AR52" s="294"/>
      <c r="AS52" s="294"/>
      <c r="AT52" s="294"/>
      <c r="AU52" s="294"/>
      <c r="AV52" s="294"/>
      <c r="AW52" s="294"/>
      <c r="AX52" s="294"/>
      <c r="AY52" s="294"/>
      <c r="AZ52" s="294"/>
      <c r="BA52" s="294"/>
      <c r="BB52" s="294"/>
      <c r="BC52" s="295"/>
      <c r="BD52" s="292"/>
      <c r="BE52" s="288"/>
      <c r="BF52" s="296"/>
      <c r="BG52" s="299">
        <f>SUM(BG53)</f>
        <v>0</v>
      </c>
      <c r="BH52" s="298">
        <f>SUM(BH53)</f>
        <v>0</v>
      </c>
      <c r="BI52" s="294">
        <f>SUM(BI53)</f>
        <v>100000</v>
      </c>
      <c r="BJ52" s="294">
        <f t="shared" ref="BJ52:BP52" si="109">SUM(BJ53)</f>
        <v>250000</v>
      </c>
      <c r="BK52" s="294">
        <f t="shared" si="109"/>
        <v>250000</v>
      </c>
      <c r="BL52" s="294">
        <f t="shared" si="109"/>
        <v>250000</v>
      </c>
      <c r="BM52" s="294">
        <f t="shared" si="109"/>
        <v>250000</v>
      </c>
      <c r="BN52" s="294">
        <f t="shared" si="109"/>
        <v>250000</v>
      </c>
      <c r="BO52" s="294">
        <f t="shared" si="109"/>
        <v>250000</v>
      </c>
      <c r="BP52" s="294">
        <f t="shared" si="109"/>
        <v>250000</v>
      </c>
      <c r="BQ52" s="299">
        <f t="shared" si="92"/>
        <v>1850000</v>
      </c>
      <c r="BR52" s="300"/>
      <c r="BS52" s="288"/>
      <c r="BT52" s="288"/>
      <c r="BU52" s="301"/>
      <c r="BV52" s="298">
        <f>SUM(BV53)</f>
        <v>10000000</v>
      </c>
      <c r="BW52" s="294">
        <f>SUM(BW53)</f>
        <v>13000000</v>
      </c>
      <c r="BX52" s="294">
        <f t="shared" ref="BX52:CC52" si="110">SUM(BX53)</f>
        <v>12000000</v>
      </c>
      <c r="BY52" s="294">
        <f t="shared" si="110"/>
        <v>0</v>
      </c>
      <c r="BZ52" s="294">
        <f t="shared" si="110"/>
        <v>12000000</v>
      </c>
      <c r="CA52" s="294">
        <f t="shared" si="110"/>
        <v>0</v>
      </c>
      <c r="CB52" s="294">
        <f t="shared" si="110"/>
        <v>12000000</v>
      </c>
      <c r="CC52" s="294">
        <f t="shared" si="110"/>
        <v>0</v>
      </c>
      <c r="CD52" s="299">
        <f>SUM(CD53)</f>
        <v>12000000</v>
      </c>
      <c r="CE52" s="298">
        <f>SUM(CE53)</f>
        <v>10000000</v>
      </c>
      <c r="CF52" s="294">
        <f>SUM(CF53)</f>
        <v>12900000</v>
      </c>
      <c r="CG52" s="294">
        <f t="shared" ref="CG52:CM52" si="111">SUM(CG53)</f>
        <v>11750000</v>
      </c>
      <c r="CH52" s="294">
        <f t="shared" si="111"/>
        <v>-250000</v>
      </c>
      <c r="CI52" s="294">
        <f t="shared" si="111"/>
        <v>11750000</v>
      </c>
      <c r="CJ52" s="294">
        <f t="shared" si="111"/>
        <v>-250000</v>
      </c>
      <c r="CK52" s="294">
        <f t="shared" si="111"/>
        <v>11750000</v>
      </c>
      <c r="CL52" s="294">
        <f t="shared" si="111"/>
        <v>-250000</v>
      </c>
      <c r="CM52" s="294">
        <f t="shared" si="111"/>
        <v>11750000</v>
      </c>
      <c r="CN52" s="299">
        <f t="shared" si="98"/>
        <v>69150000</v>
      </c>
      <c r="CO52" s="300"/>
      <c r="CP52" s="302">
        <f>SUM(CP53)</f>
        <v>0</v>
      </c>
      <c r="CQ52" s="288"/>
      <c r="CR52" s="288"/>
      <c r="CS52" s="288"/>
      <c r="CT52" s="288"/>
      <c r="CU52" s="288"/>
      <c r="CV52" s="303">
        <f>SUM(CV53)</f>
        <v>69150000</v>
      </c>
      <c r="CW52" s="293"/>
      <c r="CX52" s="304"/>
    </row>
    <row r="53" spans="1:102" ht="26.1" customHeight="1" thickBot="1" x14ac:dyDescent="0.3">
      <c r="A53" s="204" t="s">
        <v>49</v>
      </c>
      <c r="B53" s="362"/>
      <c r="C53" s="460" t="s">
        <v>49</v>
      </c>
      <c r="D53" s="451" t="s">
        <v>709</v>
      </c>
      <c r="E53" s="356" t="s">
        <v>490</v>
      </c>
      <c r="F53" s="356" t="s">
        <v>404</v>
      </c>
      <c r="G53" s="356" t="s">
        <v>394</v>
      </c>
      <c r="H53" s="357" t="s">
        <v>113</v>
      </c>
      <c r="I53" s="547" t="s">
        <v>216</v>
      </c>
      <c r="J53" s="548" t="s">
        <v>230</v>
      </c>
      <c r="K53" s="206"/>
      <c r="L53" s="207"/>
      <c r="M53" s="208"/>
      <c r="O53" s="204" t="s">
        <v>49</v>
      </c>
      <c r="P53" s="47" t="s">
        <v>50</v>
      </c>
      <c r="Q53" s="48" t="s">
        <v>451</v>
      </c>
      <c r="R53" s="48" t="s">
        <v>314</v>
      </c>
      <c r="S53" s="48" t="s">
        <v>314</v>
      </c>
      <c r="T53" s="48" t="s">
        <v>314</v>
      </c>
      <c r="U53" s="48"/>
      <c r="V53" s="48" t="s">
        <v>314</v>
      </c>
      <c r="W53" s="48"/>
      <c r="X53" s="48" t="s">
        <v>307</v>
      </c>
      <c r="Y53" s="48"/>
      <c r="Z53" s="48"/>
      <c r="AA53" s="48"/>
      <c r="AB53" s="48"/>
      <c r="AC53" s="48"/>
      <c r="AD53" s="48"/>
      <c r="AE53" s="48"/>
      <c r="AF53" s="209"/>
      <c r="AG53" s="47" t="s">
        <v>315</v>
      </c>
      <c r="AH53" s="210" t="s">
        <v>319</v>
      </c>
      <c r="AI53" s="68" t="s">
        <v>452</v>
      </c>
      <c r="AJ53" s="436"/>
      <c r="AK53" s="438">
        <v>0.02</v>
      </c>
      <c r="AL53" s="438">
        <v>0.02</v>
      </c>
      <c r="AM53" s="438">
        <v>0.05</v>
      </c>
      <c r="AN53" s="438">
        <v>0.05</v>
      </c>
      <c r="AO53" s="438">
        <v>0.05</v>
      </c>
      <c r="AP53" s="438">
        <v>0.05</v>
      </c>
      <c r="AQ53" s="438">
        <v>0.05</v>
      </c>
      <c r="AR53" s="438">
        <v>0.05</v>
      </c>
      <c r="AS53" s="438">
        <v>0.05</v>
      </c>
      <c r="AT53" s="438">
        <v>0.15</v>
      </c>
      <c r="AU53" s="438">
        <v>0.2</v>
      </c>
      <c r="AV53" s="438">
        <v>0.2</v>
      </c>
      <c r="AW53" s="438">
        <v>0.2</v>
      </c>
      <c r="AX53" s="438">
        <v>0.2</v>
      </c>
      <c r="AY53" s="436"/>
      <c r="AZ53" s="436"/>
      <c r="BA53" s="436"/>
      <c r="BB53" s="48"/>
      <c r="BC53" s="48"/>
      <c r="BD53" s="206" t="s">
        <v>446</v>
      </c>
      <c r="BE53" s="257" t="s">
        <v>349</v>
      </c>
      <c r="BF53" s="48" t="s">
        <v>313</v>
      </c>
      <c r="BG53" s="211"/>
      <c r="BH53" s="212">
        <v>0</v>
      </c>
      <c r="BI53" s="170">
        <v>100000</v>
      </c>
      <c r="BJ53" s="170">
        <v>250000</v>
      </c>
      <c r="BK53" s="170">
        <v>250000</v>
      </c>
      <c r="BL53" s="170">
        <v>250000</v>
      </c>
      <c r="BM53" s="170">
        <v>250000</v>
      </c>
      <c r="BN53" s="170">
        <v>250000</v>
      </c>
      <c r="BO53" s="170">
        <v>250000</v>
      </c>
      <c r="BP53" s="170">
        <v>250000</v>
      </c>
      <c r="BQ53" s="213">
        <f t="shared" si="92"/>
        <v>1850000</v>
      </c>
      <c r="BR53" s="285">
        <v>1</v>
      </c>
      <c r="BS53" s="48"/>
      <c r="BT53" s="48"/>
      <c r="BU53" s="216"/>
      <c r="BV53" s="212">
        <v>10000000</v>
      </c>
      <c r="BW53" s="170">
        <v>13000000</v>
      </c>
      <c r="BX53" s="170">
        <v>12000000</v>
      </c>
      <c r="BY53" s="170">
        <v>0</v>
      </c>
      <c r="BZ53" s="170">
        <v>12000000</v>
      </c>
      <c r="CA53" s="170">
        <v>0</v>
      </c>
      <c r="CB53" s="170">
        <v>12000000</v>
      </c>
      <c r="CC53" s="170">
        <v>0</v>
      </c>
      <c r="CD53" s="213">
        <v>12000000</v>
      </c>
      <c r="CE53" s="217">
        <f>+BV53-BH53</f>
        <v>10000000</v>
      </c>
      <c r="CF53" s="217">
        <f t="shared" ref="CF53:CM53" si="112">+BW53-BI53</f>
        <v>12900000</v>
      </c>
      <c r="CG53" s="217">
        <f t="shared" si="112"/>
        <v>11750000</v>
      </c>
      <c r="CH53" s="217">
        <f t="shared" si="112"/>
        <v>-250000</v>
      </c>
      <c r="CI53" s="217">
        <f t="shared" si="112"/>
        <v>11750000</v>
      </c>
      <c r="CJ53" s="217">
        <f t="shared" si="112"/>
        <v>-250000</v>
      </c>
      <c r="CK53" s="217">
        <f t="shared" si="112"/>
        <v>11750000</v>
      </c>
      <c r="CL53" s="217">
        <f t="shared" si="112"/>
        <v>-250000</v>
      </c>
      <c r="CM53" s="217">
        <f t="shared" si="112"/>
        <v>11750000</v>
      </c>
      <c r="CN53" s="218">
        <f>SUM(CE53:CM53)</f>
        <v>69150000</v>
      </c>
      <c r="CO53" s="219"/>
      <c r="CP53" s="220"/>
      <c r="CQ53" s="220"/>
      <c r="CR53" s="210"/>
      <c r="CS53" s="210"/>
      <c r="CT53" s="210"/>
      <c r="CU53" s="210"/>
      <c r="CV53" s="221">
        <f>+CN53-CP53*550</f>
        <v>69150000</v>
      </c>
      <c r="CW53" s="222"/>
      <c r="CX53" s="258"/>
    </row>
    <row r="54" spans="1:102" ht="26.1" hidden="1" customHeight="1" x14ac:dyDescent="0.25">
      <c r="A54" s="123" t="s">
        <v>51</v>
      </c>
      <c r="B54" s="359"/>
      <c r="C54" s="461" t="s">
        <v>51</v>
      </c>
      <c r="D54" s="462" t="s">
        <v>710</v>
      </c>
      <c r="E54" s="463"/>
      <c r="F54" s="464"/>
      <c r="G54" s="463"/>
      <c r="H54" s="465"/>
      <c r="I54" s="553"/>
      <c r="J54" s="554"/>
      <c r="K54" s="128"/>
      <c r="L54" s="129"/>
      <c r="M54" s="130"/>
      <c r="O54" s="123" t="s">
        <v>51</v>
      </c>
      <c r="P54" s="131"/>
      <c r="Q54" s="126"/>
      <c r="R54" s="126"/>
      <c r="S54" s="126"/>
      <c r="T54" s="126"/>
      <c r="U54" s="126"/>
      <c r="V54" s="126"/>
      <c r="W54" s="126"/>
      <c r="X54" s="126"/>
      <c r="Y54" s="126"/>
      <c r="Z54" s="126"/>
      <c r="AA54" s="126"/>
      <c r="AB54" s="126"/>
      <c r="AC54" s="126"/>
      <c r="AD54" s="126"/>
      <c r="AE54" s="126"/>
      <c r="AF54" s="132"/>
      <c r="AG54" s="131"/>
      <c r="AH54" s="126"/>
      <c r="AI54" s="126"/>
      <c r="AJ54" s="133"/>
      <c r="AK54" s="133"/>
      <c r="AL54" s="133"/>
      <c r="AM54" s="133"/>
      <c r="AN54" s="133"/>
      <c r="AO54" s="133"/>
      <c r="AP54" s="133"/>
      <c r="AQ54" s="133"/>
      <c r="AR54" s="133"/>
      <c r="AS54" s="133"/>
      <c r="AT54" s="133"/>
      <c r="AU54" s="133"/>
      <c r="AV54" s="133"/>
      <c r="AW54" s="133"/>
      <c r="AX54" s="133"/>
      <c r="AY54" s="133"/>
      <c r="AZ54" s="133"/>
      <c r="BA54" s="133"/>
      <c r="BB54" s="133"/>
      <c r="BC54" s="263"/>
      <c r="BD54" s="131"/>
      <c r="BE54" s="126"/>
      <c r="BF54" s="134"/>
      <c r="BG54" s="135">
        <f t="shared" ref="BG54:BP54" si="113">+BG55+BG59</f>
        <v>0</v>
      </c>
      <c r="BH54" s="136">
        <f t="shared" si="113"/>
        <v>920512108.46702313</v>
      </c>
      <c r="BI54" s="133">
        <f t="shared" si="113"/>
        <v>927312108.46702313</v>
      </c>
      <c r="BJ54" s="133">
        <f t="shared" si="113"/>
        <v>923912108.46702313</v>
      </c>
      <c r="BK54" s="133">
        <f t="shared" si="113"/>
        <v>590245441.80035651</v>
      </c>
      <c r="BL54" s="133">
        <f t="shared" si="113"/>
        <v>586845441.80035651</v>
      </c>
      <c r="BM54" s="133">
        <f t="shared" si="113"/>
        <v>586845441.80035651</v>
      </c>
      <c r="BN54" s="133">
        <f t="shared" si="113"/>
        <v>586845441.80035651</v>
      </c>
      <c r="BO54" s="133">
        <f t="shared" si="113"/>
        <v>586845441.80035651</v>
      </c>
      <c r="BP54" s="133">
        <f t="shared" si="113"/>
        <v>586845441.80035651</v>
      </c>
      <c r="BQ54" s="137">
        <f t="shared" si="92"/>
        <v>6296208976.2032099</v>
      </c>
      <c r="BR54" s="138"/>
      <c r="BS54" s="126"/>
      <c r="BT54" s="126"/>
      <c r="BU54" s="139"/>
      <c r="BV54" s="136">
        <f t="shared" ref="BV54:CM54" si="114">+BV55+BV59</f>
        <v>1412182550.2673798</v>
      </c>
      <c r="BW54" s="133">
        <f t="shared" si="114"/>
        <v>1429282550.2673798</v>
      </c>
      <c r="BX54" s="133">
        <f t="shared" si="114"/>
        <v>1415682550.2673798</v>
      </c>
      <c r="BY54" s="133">
        <f t="shared" si="114"/>
        <v>1448682550.267379</v>
      </c>
      <c r="BZ54" s="133">
        <f t="shared" si="114"/>
        <v>1441882550.267379</v>
      </c>
      <c r="CA54" s="133">
        <f t="shared" si="114"/>
        <v>1441882550.267379</v>
      </c>
      <c r="CB54" s="133">
        <f t="shared" si="114"/>
        <v>1441882550.267379</v>
      </c>
      <c r="CC54" s="133">
        <f t="shared" si="114"/>
        <v>1441882550.267379</v>
      </c>
      <c r="CD54" s="137">
        <f t="shared" si="114"/>
        <v>1441882550.267379</v>
      </c>
      <c r="CE54" s="136">
        <f t="shared" si="114"/>
        <v>491670441.80035651</v>
      </c>
      <c r="CF54" s="133">
        <f t="shared" si="114"/>
        <v>501970441.80035651</v>
      </c>
      <c r="CG54" s="133">
        <f t="shared" si="114"/>
        <v>491770441.80035651</v>
      </c>
      <c r="CH54" s="133">
        <f t="shared" si="114"/>
        <v>858437108.46702254</v>
      </c>
      <c r="CI54" s="133">
        <f t="shared" si="114"/>
        <v>855037108.46702254</v>
      </c>
      <c r="CJ54" s="133">
        <f t="shared" si="114"/>
        <v>855037108.46702254</v>
      </c>
      <c r="CK54" s="133">
        <f t="shared" si="114"/>
        <v>855037108.46702254</v>
      </c>
      <c r="CL54" s="133">
        <f t="shared" si="114"/>
        <v>855037108.46702254</v>
      </c>
      <c r="CM54" s="133">
        <f t="shared" si="114"/>
        <v>855037108.46702254</v>
      </c>
      <c r="CN54" s="137">
        <f t="shared" si="98"/>
        <v>6619033976.2032051</v>
      </c>
      <c r="CO54" s="138"/>
      <c r="CP54" s="140">
        <f>+CP55+CP59</f>
        <v>6000</v>
      </c>
      <c r="CQ54" s="126"/>
      <c r="CR54" s="126"/>
      <c r="CS54" s="126"/>
      <c r="CT54" s="126"/>
      <c r="CU54" s="126"/>
      <c r="CV54" s="141">
        <f>+CV55+CV59</f>
        <v>6615733976.2032042</v>
      </c>
      <c r="CW54" s="132"/>
      <c r="CX54" s="142"/>
    </row>
    <row r="55" spans="1:102" ht="26.1" hidden="1" customHeight="1" x14ac:dyDescent="0.25">
      <c r="A55" s="286" t="s">
        <v>52</v>
      </c>
      <c r="B55" s="359"/>
      <c r="C55" s="457" t="s">
        <v>52</v>
      </c>
      <c r="D55" s="65" t="s">
        <v>711</v>
      </c>
      <c r="E55" s="64" t="s">
        <v>656</v>
      </c>
      <c r="F55" s="288"/>
      <c r="G55" s="64"/>
      <c r="H55" s="458"/>
      <c r="I55" s="555"/>
      <c r="J55" s="556"/>
      <c r="K55" s="289"/>
      <c r="L55" s="290"/>
      <c r="M55" s="291"/>
      <c r="O55" s="286" t="s">
        <v>52</v>
      </c>
      <c r="P55" s="292"/>
      <c r="Q55" s="288"/>
      <c r="R55" s="288"/>
      <c r="S55" s="288"/>
      <c r="T55" s="288"/>
      <c r="U55" s="288"/>
      <c r="V55" s="288"/>
      <c r="W55" s="288"/>
      <c r="X55" s="288"/>
      <c r="Y55" s="288"/>
      <c r="Z55" s="288"/>
      <c r="AA55" s="288"/>
      <c r="AB55" s="288"/>
      <c r="AC55" s="288"/>
      <c r="AD55" s="288"/>
      <c r="AE55" s="288"/>
      <c r="AF55" s="293"/>
      <c r="AG55" s="292"/>
      <c r="AH55" s="288"/>
      <c r="AI55" s="288"/>
      <c r="AJ55" s="294"/>
      <c r="AK55" s="294"/>
      <c r="AL55" s="294"/>
      <c r="AM55" s="294"/>
      <c r="AN55" s="294"/>
      <c r="AO55" s="294"/>
      <c r="AP55" s="294"/>
      <c r="AQ55" s="294"/>
      <c r="AR55" s="294"/>
      <c r="AS55" s="294"/>
      <c r="AT55" s="294"/>
      <c r="AU55" s="294"/>
      <c r="AV55" s="294"/>
      <c r="AW55" s="294"/>
      <c r="AX55" s="294"/>
      <c r="AY55" s="294"/>
      <c r="AZ55" s="294"/>
      <c r="BA55" s="294"/>
      <c r="BB55" s="294"/>
      <c r="BC55" s="295"/>
      <c r="BD55" s="292"/>
      <c r="BE55" s="288"/>
      <c r="BF55" s="296"/>
      <c r="BG55" s="297">
        <f>+BG56+BG57</f>
        <v>0</v>
      </c>
      <c r="BH55" s="298">
        <f>+BH56+BH57</f>
        <v>488370441.80035651</v>
      </c>
      <c r="BI55" s="294">
        <f>+BI56+BI57</f>
        <v>488370441.80035651</v>
      </c>
      <c r="BJ55" s="294">
        <f t="shared" ref="BJ55:BP55" si="115">+BJ56+BJ57</f>
        <v>488370441.80035651</v>
      </c>
      <c r="BK55" s="294">
        <f t="shared" si="115"/>
        <v>488370441.80035651</v>
      </c>
      <c r="BL55" s="294">
        <f t="shared" si="115"/>
        <v>488370441.80035651</v>
      </c>
      <c r="BM55" s="294">
        <f t="shared" si="115"/>
        <v>488370441.80035651</v>
      </c>
      <c r="BN55" s="294">
        <f t="shared" si="115"/>
        <v>488370441.80035651</v>
      </c>
      <c r="BO55" s="294">
        <f t="shared" si="115"/>
        <v>488370441.80035651</v>
      </c>
      <c r="BP55" s="294">
        <f t="shared" si="115"/>
        <v>488370441.80035651</v>
      </c>
      <c r="BQ55" s="299">
        <f t="shared" si="92"/>
        <v>4395333976.203208</v>
      </c>
      <c r="BR55" s="300"/>
      <c r="BS55" s="288"/>
      <c r="BT55" s="288"/>
      <c r="BU55" s="301"/>
      <c r="BV55" s="298">
        <f>+BV56+BV57</f>
        <v>976740883.60071301</v>
      </c>
      <c r="BW55" s="294">
        <f>+BW56+BW57</f>
        <v>976740883.60071301</v>
      </c>
      <c r="BX55" s="294">
        <f t="shared" ref="BX55:CC55" si="116">+BX56+BX57</f>
        <v>976740883.60071301</v>
      </c>
      <c r="BY55" s="294">
        <f t="shared" si="116"/>
        <v>976740883.60071301</v>
      </c>
      <c r="BZ55" s="294">
        <f t="shared" si="116"/>
        <v>976740883.60071301</v>
      </c>
      <c r="CA55" s="294">
        <f t="shared" si="116"/>
        <v>976740883.60071301</v>
      </c>
      <c r="CB55" s="294">
        <f t="shared" si="116"/>
        <v>976740883.60071301</v>
      </c>
      <c r="CC55" s="294">
        <f t="shared" si="116"/>
        <v>976740883.60071301</v>
      </c>
      <c r="CD55" s="299">
        <f>+CD56+CD57</f>
        <v>976740883.60071301</v>
      </c>
      <c r="CE55" s="298">
        <f>+CE56+CE57</f>
        <v>488370441.80035651</v>
      </c>
      <c r="CF55" s="294">
        <f>+CF56+CF57</f>
        <v>488370441.80035651</v>
      </c>
      <c r="CG55" s="294">
        <f t="shared" ref="CG55:CM55" si="117">+CG56+CG57</f>
        <v>488370441.80035651</v>
      </c>
      <c r="CH55" s="294">
        <f t="shared" si="117"/>
        <v>488370441.80035651</v>
      </c>
      <c r="CI55" s="294">
        <f t="shared" si="117"/>
        <v>488370441.80035651</v>
      </c>
      <c r="CJ55" s="294">
        <f t="shared" si="117"/>
        <v>488370441.80035651</v>
      </c>
      <c r="CK55" s="294">
        <f t="shared" si="117"/>
        <v>488370441.80035651</v>
      </c>
      <c r="CL55" s="294">
        <f t="shared" si="117"/>
        <v>488370441.80035651</v>
      </c>
      <c r="CM55" s="294">
        <f t="shared" si="117"/>
        <v>488370441.80035651</v>
      </c>
      <c r="CN55" s="299">
        <f t="shared" si="98"/>
        <v>4395333976.203208</v>
      </c>
      <c r="CO55" s="300"/>
      <c r="CP55" s="302">
        <f>+CP56+CP57</f>
        <v>0</v>
      </c>
      <c r="CQ55" s="288"/>
      <c r="CR55" s="288"/>
      <c r="CS55" s="288"/>
      <c r="CT55" s="288"/>
      <c r="CU55" s="288"/>
      <c r="CV55" s="303">
        <f>+CV56+CV57</f>
        <v>4395333976.203208</v>
      </c>
      <c r="CW55" s="293"/>
      <c r="CX55" s="304"/>
    </row>
    <row r="56" spans="1:102" ht="27.75" hidden="1" customHeight="1" x14ac:dyDescent="0.25">
      <c r="A56" s="143" t="s">
        <v>53</v>
      </c>
      <c r="B56" s="360"/>
      <c r="C56" s="447" t="s">
        <v>53</v>
      </c>
      <c r="D56" s="154" t="s">
        <v>712</v>
      </c>
      <c r="E56" s="448" t="s">
        <v>1</v>
      </c>
      <c r="F56" s="145"/>
      <c r="G56" s="60"/>
      <c r="H56" s="453"/>
      <c r="I56" s="549"/>
      <c r="J56" s="550"/>
      <c r="K56" s="147" t="s">
        <v>253</v>
      </c>
      <c r="L56" s="148" t="s">
        <v>254</v>
      </c>
      <c r="M56" s="148" t="s">
        <v>255</v>
      </c>
      <c r="N56" s="329"/>
      <c r="O56" s="143" t="s">
        <v>53</v>
      </c>
      <c r="P56" s="150"/>
      <c r="Q56" s="145"/>
      <c r="R56" s="145"/>
      <c r="S56" s="145"/>
      <c r="T56" s="145"/>
      <c r="U56" s="145"/>
      <c r="V56" s="145"/>
      <c r="W56" s="145"/>
      <c r="X56" s="145"/>
      <c r="Y56" s="145"/>
      <c r="Z56" s="145"/>
      <c r="AA56" s="145"/>
      <c r="AB56" s="145"/>
      <c r="AC56" s="145"/>
      <c r="AD56" s="145"/>
      <c r="AE56" s="145"/>
      <c r="AF56" s="151"/>
      <c r="AG56" s="150"/>
      <c r="AH56" s="145"/>
      <c r="AI56" s="145"/>
      <c r="AJ56" s="152"/>
      <c r="AK56" s="152"/>
      <c r="AL56" s="152"/>
      <c r="AM56" s="152"/>
      <c r="AN56" s="152"/>
      <c r="AO56" s="152"/>
      <c r="AP56" s="152"/>
      <c r="AQ56" s="152"/>
      <c r="AR56" s="152"/>
      <c r="AS56" s="152"/>
      <c r="AT56" s="152"/>
      <c r="AU56" s="152"/>
      <c r="AV56" s="152"/>
      <c r="AW56" s="152"/>
      <c r="AX56" s="152"/>
      <c r="AY56" s="152"/>
      <c r="AZ56" s="152"/>
      <c r="BA56" s="152"/>
      <c r="BB56" s="152"/>
      <c r="BC56" s="254"/>
      <c r="BD56" s="150"/>
      <c r="BE56" s="154" t="s">
        <v>355</v>
      </c>
      <c r="BF56" s="155"/>
      <c r="BG56" s="159"/>
      <c r="BH56" s="157"/>
      <c r="BI56" s="152"/>
      <c r="BJ56" s="152"/>
      <c r="BK56" s="152"/>
      <c r="BL56" s="152"/>
      <c r="BM56" s="152"/>
      <c r="BN56" s="152"/>
      <c r="BO56" s="152"/>
      <c r="BP56" s="152"/>
      <c r="BQ56" s="156"/>
      <c r="BR56" s="158"/>
      <c r="BS56" s="145"/>
      <c r="BT56" s="145"/>
      <c r="BU56" s="159"/>
      <c r="BV56" s="157"/>
      <c r="BW56" s="152"/>
      <c r="BX56" s="152"/>
      <c r="BY56" s="152"/>
      <c r="BZ56" s="152"/>
      <c r="CA56" s="152"/>
      <c r="CB56" s="152"/>
      <c r="CC56" s="152"/>
      <c r="CD56" s="156"/>
      <c r="CE56" s="157"/>
      <c r="CF56" s="152"/>
      <c r="CG56" s="152"/>
      <c r="CH56" s="152"/>
      <c r="CI56" s="152"/>
      <c r="CJ56" s="152"/>
      <c r="CK56" s="152"/>
      <c r="CL56" s="152"/>
      <c r="CM56" s="152"/>
      <c r="CN56" s="156"/>
      <c r="CO56" s="158"/>
      <c r="CP56" s="145"/>
      <c r="CQ56" s="145"/>
      <c r="CR56" s="145"/>
      <c r="CS56" s="145"/>
      <c r="CT56" s="145"/>
      <c r="CU56" s="145"/>
      <c r="CV56" s="145"/>
      <c r="CW56" s="151"/>
      <c r="CX56" s="162"/>
    </row>
    <row r="57" spans="1:102" ht="26.1" hidden="1" customHeight="1" x14ac:dyDescent="0.25">
      <c r="A57" s="143" t="s">
        <v>58</v>
      </c>
      <c r="B57" s="360"/>
      <c r="C57" s="447" t="s">
        <v>58</v>
      </c>
      <c r="D57" s="154" t="s">
        <v>713</v>
      </c>
      <c r="E57" s="448" t="s">
        <v>3</v>
      </c>
      <c r="F57" s="145"/>
      <c r="G57" s="60"/>
      <c r="H57" s="453"/>
      <c r="I57" s="549"/>
      <c r="J57" s="550"/>
      <c r="K57" s="147" t="s">
        <v>253</v>
      </c>
      <c r="L57" s="148" t="s">
        <v>254</v>
      </c>
      <c r="M57" s="148" t="s">
        <v>255</v>
      </c>
      <c r="N57" s="329"/>
      <c r="O57" s="143" t="s">
        <v>58</v>
      </c>
      <c r="P57" s="150"/>
      <c r="Q57" s="145"/>
      <c r="R57" s="145"/>
      <c r="S57" s="145"/>
      <c r="T57" s="145"/>
      <c r="U57" s="145"/>
      <c r="V57" s="145"/>
      <c r="W57" s="145"/>
      <c r="X57" s="145"/>
      <c r="Y57" s="145"/>
      <c r="Z57" s="145"/>
      <c r="AA57" s="145"/>
      <c r="AB57" s="145"/>
      <c r="AC57" s="145"/>
      <c r="AD57" s="145"/>
      <c r="AE57" s="145"/>
      <c r="AF57" s="151"/>
      <c r="AG57" s="150"/>
      <c r="AH57" s="145"/>
      <c r="AI57" s="145"/>
      <c r="AJ57" s="152"/>
      <c r="AK57" s="152"/>
      <c r="AL57" s="152"/>
      <c r="AM57" s="152"/>
      <c r="AN57" s="152"/>
      <c r="AO57" s="152"/>
      <c r="AP57" s="152"/>
      <c r="AQ57" s="152"/>
      <c r="AR57" s="152"/>
      <c r="AS57" s="152"/>
      <c r="AT57" s="152"/>
      <c r="AU57" s="152"/>
      <c r="AV57" s="152"/>
      <c r="AW57" s="152"/>
      <c r="AX57" s="152"/>
      <c r="AY57" s="152"/>
      <c r="AZ57" s="152"/>
      <c r="BA57" s="152"/>
      <c r="BB57" s="152"/>
      <c r="BC57" s="254"/>
      <c r="BD57" s="150"/>
      <c r="BE57" s="154" t="s">
        <v>355</v>
      </c>
      <c r="BF57" s="155"/>
      <c r="BG57" s="156">
        <f>SUM(BG58)</f>
        <v>0</v>
      </c>
      <c r="BH57" s="157">
        <f>SUM(BH58)</f>
        <v>488370441.80035651</v>
      </c>
      <c r="BI57" s="152">
        <f>SUM(BI58)</f>
        <v>488370441.80035651</v>
      </c>
      <c r="BJ57" s="152">
        <f t="shared" ref="BJ57:BP57" si="118">SUM(BJ58)</f>
        <v>488370441.80035651</v>
      </c>
      <c r="BK57" s="152">
        <f t="shared" si="118"/>
        <v>488370441.80035651</v>
      </c>
      <c r="BL57" s="152">
        <f t="shared" si="118"/>
        <v>488370441.80035651</v>
      </c>
      <c r="BM57" s="152">
        <f t="shared" si="118"/>
        <v>488370441.80035651</v>
      </c>
      <c r="BN57" s="152">
        <f t="shared" si="118"/>
        <v>488370441.80035651</v>
      </c>
      <c r="BO57" s="152">
        <f t="shared" si="118"/>
        <v>488370441.80035651</v>
      </c>
      <c r="BP57" s="152">
        <f t="shared" si="118"/>
        <v>488370441.80035651</v>
      </c>
      <c r="BQ57" s="156">
        <f t="shared" ref="BQ57:BQ69" si="119">SUM(BH57:BP57)</f>
        <v>4395333976.203208</v>
      </c>
      <c r="BR57" s="158"/>
      <c r="BS57" s="145"/>
      <c r="BT57" s="145"/>
      <c r="BU57" s="159"/>
      <c r="BV57" s="157">
        <f>SUM(BV58)</f>
        <v>976740883.60071301</v>
      </c>
      <c r="BW57" s="152">
        <f>SUM(BW58)</f>
        <v>976740883.60071301</v>
      </c>
      <c r="BX57" s="152">
        <f t="shared" ref="BX57:CC57" si="120">SUM(BX58)</f>
        <v>976740883.60071301</v>
      </c>
      <c r="BY57" s="152">
        <f t="shared" si="120"/>
        <v>976740883.60071301</v>
      </c>
      <c r="BZ57" s="152">
        <f t="shared" si="120"/>
        <v>976740883.60071301</v>
      </c>
      <c r="CA57" s="152">
        <f t="shared" si="120"/>
        <v>976740883.60071301</v>
      </c>
      <c r="CB57" s="152">
        <f t="shared" si="120"/>
        <v>976740883.60071301</v>
      </c>
      <c r="CC57" s="152">
        <f t="shared" si="120"/>
        <v>976740883.60071301</v>
      </c>
      <c r="CD57" s="156">
        <f>SUM(CD58)</f>
        <v>976740883.60071301</v>
      </c>
      <c r="CE57" s="157">
        <f>SUM(CE58)</f>
        <v>488370441.80035651</v>
      </c>
      <c r="CF57" s="152">
        <f>SUM(CF58)</f>
        <v>488370441.80035651</v>
      </c>
      <c r="CG57" s="152">
        <f t="shared" ref="CG57:CM57" si="121">SUM(CG58)</f>
        <v>488370441.80035651</v>
      </c>
      <c r="CH57" s="152">
        <f t="shared" si="121"/>
        <v>488370441.80035651</v>
      </c>
      <c r="CI57" s="152">
        <f t="shared" si="121"/>
        <v>488370441.80035651</v>
      </c>
      <c r="CJ57" s="152">
        <f t="shared" si="121"/>
        <v>488370441.80035651</v>
      </c>
      <c r="CK57" s="152">
        <f t="shared" si="121"/>
        <v>488370441.80035651</v>
      </c>
      <c r="CL57" s="152">
        <f t="shared" si="121"/>
        <v>488370441.80035651</v>
      </c>
      <c r="CM57" s="152">
        <f t="shared" si="121"/>
        <v>488370441.80035651</v>
      </c>
      <c r="CN57" s="156">
        <f t="shared" ref="CN57:CN66" si="122">SUM(CE57:CM57)</f>
        <v>4395333976.203208</v>
      </c>
      <c r="CO57" s="158"/>
      <c r="CP57" s="160">
        <f>SUM(CP58)</f>
        <v>0</v>
      </c>
      <c r="CQ57" s="145"/>
      <c r="CR57" s="145"/>
      <c r="CS57" s="145"/>
      <c r="CT57" s="145"/>
      <c r="CU57" s="145"/>
      <c r="CV57" s="161">
        <f>SUM(CV58)</f>
        <v>4395333976.203208</v>
      </c>
      <c r="CW57" s="151"/>
      <c r="CX57" s="162"/>
    </row>
    <row r="58" spans="1:102" ht="26.1" customHeight="1" x14ac:dyDescent="0.25">
      <c r="A58" s="204" t="s">
        <v>59</v>
      </c>
      <c r="B58" s="362"/>
      <c r="C58" s="450" t="s">
        <v>59</v>
      </c>
      <c r="D58" s="451" t="s">
        <v>714</v>
      </c>
      <c r="E58" s="48" t="s">
        <v>3</v>
      </c>
      <c r="F58" s="48" t="s">
        <v>655</v>
      </c>
      <c r="G58" s="48" t="s">
        <v>396</v>
      </c>
      <c r="H58" s="94" t="s">
        <v>116</v>
      </c>
      <c r="I58" s="547"/>
      <c r="J58" s="548" t="s">
        <v>230</v>
      </c>
      <c r="K58" s="206"/>
      <c r="L58" s="207"/>
      <c r="M58" s="208"/>
      <c r="O58" s="204" t="s">
        <v>59</v>
      </c>
      <c r="P58" s="47" t="s">
        <v>3</v>
      </c>
      <c r="Q58" s="48" t="s">
        <v>456</v>
      </c>
      <c r="R58" s="48" t="s">
        <v>314</v>
      </c>
      <c r="S58" s="48"/>
      <c r="T58" s="48" t="s">
        <v>314</v>
      </c>
      <c r="U58" s="48" t="s">
        <v>314</v>
      </c>
      <c r="V58" s="48"/>
      <c r="W58" s="48"/>
      <c r="X58" s="48" t="s">
        <v>307</v>
      </c>
      <c r="Y58" s="48"/>
      <c r="Z58" s="48"/>
      <c r="AA58" s="48"/>
      <c r="AB58" s="48"/>
      <c r="AC58" s="48" t="s">
        <v>314</v>
      </c>
      <c r="AD58" s="48"/>
      <c r="AE58" s="48"/>
      <c r="AF58" s="209"/>
      <c r="AG58" s="47" t="s">
        <v>315</v>
      </c>
      <c r="AH58" s="210" t="s">
        <v>319</v>
      </c>
      <c r="AI58" s="267" t="s">
        <v>457</v>
      </c>
      <c r="AJ58" s="170">
        <v>3500</v>
      </c>
      <c r="AK58" s="170">
        <v>3500</v>
      </c>
      <c r="AL58" s="170">
        <v>3500</v>
      </c>
      <c r="AM58" s="170">
        <v>3500</v>
      </c>
      <c r="AN58" s="170">
        <v>3500</v>
      </c>
      <c r="AO58" s="170">
        <v>3500</v>
      </c>
      <c r="AP58" s="170">
        <v>3500</v>
      </c>
      <c r="AQ58" s="170">
        <v>3500</v>
      </c>
      <c r="AR58" s="170">
        <v>3500</v>
      </c>
      <c r="AS58" s="170">
        <v>7000</v>
      </c>
      <c r="AT58" s="170">
        <v>7000</v>
      </c>
      <c r="AU58" s="170">
        <v>7000</v>
      </c>
      <c r="AV58" s="170">
        <v>7000</v>
      </c>
      <c r="AW58" s="170">
        <v>7000</v>
      </c>
      <c r="AX58" s="170">
        <v>7000</v>
      </c>
      <c r="AY58" s="170">
        <v>7000</v>
      </c>
      <c r="AZ58" s="170">
        <v>7000</v>
      </c>
      <c r="BA58" s="170">
        <v>7000</v>
      </c>
      <c r="BB58" s="170"/>
      <c r="BC58" s="170"/>
      <c r="BD58" s="206"/>
      <c r="BE58" s="257" t="s">
        <v>312</v>
      </c>
      <c r="BF58" s="48" t="s">
        <v>323</v>
      </c>
      <c r="BG58" s="211"/>
      <c r="BH58" s="212">
        <f t="shared" ref="BH58:BP58" si="123">+(2875/5610*641939/5+2735/5610*756258/5)*AJ58</f>
        <v>488370441.80035651</v>
      </c>
      <c r="BI58" s="217">
        <f t="shared" si="123"/>
        <v>488370441.80035651</v>
      </c>
      <c r="BJ58" s="217">
        <f t="shared" si="123"/>
        <v>488370441.80035651</v>
      </c>
      <c r="BK58" s="217">
        <f t="shared" si="123"/>
        <v>488370441.80035651</v>
      </c>
      <c r="BL58" s="217">
        <f t="shared" si="123"/>
        <v>488370441.80035651</v>
      </c>
      <c r="BM58" s="217">
        <f t="shared" si="123"/>
        <v>488370441.80035651</v>
      </c>
      <c r="BN58" s="217">
        <f t="shared" si="123"/>
        <v>488370441.80035651</v>
      </c>
      <c r="BO58" s="217">
        <f t="shared" si="123"/>
        <v>488370441.80035651</v>
      </c>
      <c r="BP58" s="217">
        <f t="shared" si="123"/>
        <v>488370441.80035651</v>
      </c>
      <c r="BQ58" s="213">
        <f t="shared" si="119"/>
        <v>4395333976.203208</v>
      </c>
      <c r="BR58" s="253">
        <v>0.95</v>
      </c>
      <c r="BS58" s="48"/>
      <c r="BT58" s="215">
        <v>0.05</v>
      </c>
      <c r="BU58" s="216"/>
      <c r="BV58" s="212">
        <f>+(2875/5610*641939/5+2735/5610*756258/5)*AS58</f>
        <v>976740883.60071301</v>
      </c>
      <c r="BW58" s="217">
        <f>+(2875/5610*641939/5+2735/5610*756258/5)*AT58</f>
        <v>976740883.60071301</v>
      </c>
      <c r="BX58" s="217">
        <f t="shared" ref="BX58:CD58" si="124">+(2875/5610*641939/5+2735/5610*756258/5)*AU58</f>
        <v>976740883.60071301</v>
      </c>
      <c r="BY58" s="217">
        <f t="shared" si="124"/>
        <v>976740883.60071301</v>
      </c>
      <c r="BZ58" s="217">
        <f t="shared" si="124"/>
        <v>976740883.60071301</v>
      </c>
      <c r="CA58" s="217">
        <f t="shared" si="124"/>
        <v>976740883.60071301</v>
      </c>
      <c r="CB58" s="217">
        <f t="shared" si="124"/>
        <v>976740883.60071301</v>
      </c>
      <c r="CC58" s="217">
        <f t="shared" si="124"/>
        <v>976740883.60071301</v>
      </c>
      <c r="CD58" s="213">
        <f t="shared" si="124"/>
        <v>976740883.60071301</v>
      </c>
      <c r="CE58" s="217">
        <f>+BV58-BH58</f>
        <v>488370441.80035651</v>
      </c>
      <c r="CF58" s="217">
        <f t="shared" ref="CF58:CM58" si="125">+BW58-BI58</f>
        <v>488370441.80035651</v>
      </c>
      <c r="CG58" s="217">
        <f t="shared" si="125"/>
        <v>488370441.80035651</v>
      </c>
      <c r="CH58" s="217">
        <f t="shared" si="125"/>
        <v>488370441.80035651</v>
      </c>
      <c r="CI58" s="217">
        <f t="shared" si="125"/>
        <v>488370441.80035651</v>
      </c>
      <c r="CJ58" s="217">
        <f t="shared" si="125"/>
        <v>488370441.80035651</v>
      </c>
      <c r="CK58" s="217">
        <f t="shared" si="125"/>
        <v>488370441.80035651</v>
      </c>
      <c r="CL58" s="217">
        <f t="shared" si="125"/>
        <v>488370441.80035651</v>
      </c>
      <c r="CM58" s="217">
        <f t="shared" si="125"/>
        <v>488370441.80035651</v>
      </c>
      <c r="CN58" s="218">
        <f t="shared" si="122"/>
        <v>4395333976.203208</v>
      </c>
      <c r="CO58" s="219"/>
      <c r="CP58" s="220"/>
      <c r="CQ58" s="220"/>
      <c r="CR58" s="210"/>
      <c r="CS58" s="210"/>
      <c r="CT58" s="210"/>
      <c r="CU58" s="210"/>
      <c r="CV58" s="221">
        <f>+CN58-CP58*550</f>
        <v>4395333976.203208</v>
      </c>
      <c r="CW58" s="222"/>
      <c r="CX58" s="258"/>
    </row>
    <row r="59" spans="1:102" ht="26.1" hidden="1" customHeight="1" x14ac:dyDescent="0.25">
      <c r="A59" s="286" t="s">
        <v>248</v>
      </c>
      <c r="B59" s="359"/>
      <c r="C59" s="457" t="s">
        <v>248</v>
      </c>
      <c r="D59" s="65" t="s">
        <v>715</v>
      </c>
      <c r="E59" s="64" t="s">
        <v>490</v>
      </c>
      <c r="F59" s="288"/>
      <c r="G59" s="64"/>
      <c r="H59" s="458"/>
      <c r="I59" s="555"/>
      <c r="J59" s="556"/>
      <c r="K59" s="289"/>
      <c r="L59" s="290"/>
      <c r="M59" s="291"/>
      <c r="O59" s="286" t="s">
        <v>248</v>
      </c>
      <c r="P59" s="292"/>
      <c r="Q59" s="288"/>
      <c r="R59" s="288"/>
      <c r="S59" s="288"/>
      <c r="T59" s="288"/>
      <c r="U59" s="288"/>
      <c r="V59" s="288"/>
      <c r="W59" s="288"/>
      <c r="X59" s="288"/>
      <c r="Y59" s="288"/>
      <c r="Z59" s="288"/>
      <c r="AA59" s="288"/>
      <c r="AB59" s="288"/>
      <c r="AC59" s="288"/>
      <c r="AD59" s="288"/>
      <c r="AE59" s="288"/>
      <c r="AF59" s="293"/>
      <c r="AG59" s="292"/>
      <c r="AH59" s="288"/>
      <c r="AI59" s="288"/>
      <c r="AJ59" s="294"/>
      <c r="AK59" s="294"/>
      <c r="AL59" s="294"/>
      <c r="AM59" s="294"/>
      <c r="AN59" s="294"/>
      <c r="AO59" s="294"/>
      <c r="AP59" s="294"/>
      <c r="AQ59" s="294"/>
      <c r="AR59" s="294"/>
      <c r="AS59" s="294"/>
      <c r="AT59" s="294"/>
      <c r="AU59" s="294"/>
      <c r="AV59" s="294"/>
      <c r="AW59" s="294"/>
      <c r="AX59" s="294"/>
      <c r="AY59" s="294"/>
      <c r="AZ59" s="294"/>
      <c r="BA59" s="294"/>
      <c r="BB59" s="294"/>
      <c r="BC59" s="295"/>
      <c r="BD59" s="292"/>
      <c r="BE59" s="288"/>
      <c r="BF59" s="296"/>
      <c r="BG59" s="297">
        <f>+BG60+BG63</f>
        <v>0</v>
      </c>
      <c r="BH59" s="298">
        <f>+BH60+BH63</f>
        <v>432141666.66666663</v>
      </c>
      <c r="BI59" s="294">
        <f>+BI60+BI63</f>
        <v>438941666.66666663</v>
      </c>
      <c r="BJ59" s="294">
        <f t="shared" ref="BJ59:BP59" si="126">+BJ60+BJ63</f>
        <v>435541666.66666663</v>
      </c>
      <c r="BK59" s="294">
        <f t="shared" si="126"/>
        <v>101875000</v>
      </c>
      <c r="BL59" s="294">
        <f t="shared" si="126"/>
        <v>98475000</v>
      </c>
      <c r="BM59" s="294">
        <f t="shared" si="126"/>
        <v>98475000</v>
      </c>
      <c r="BN59" s="294">
        <f t="shared" si="126"/>
        <v>98475000</v>
      </c>
      <c r="BO59" s="294">
        <f t="shared" si="126"/>
        <v>98475000</v>
      </c>
      <c r="BP59" s="294">
        <f t="shared" si="126"/>
        <v>98475000</v>
      </c>
      <c r="BQ59" s="299">
        <f t="shared" si="119"/>
        <v>1900875000</v>
      </c>
      <c r="BR59" s="300"/>
      <c r="BS59" s="288"/>
      <c r="BT59" s="288"/>
      <c r="BU59" s="301"/>
      <c r="BV59" s="298">
        <f>+BV60+BV63</f>
        <v>435441666.66666663</v>
      </c>
      <c r="BW59" s="294">
        <f>+BW60+BW63</f>
        <v>452541666.66666663</v>
      </c>
      <c r="BX59" s="294">
        <f t="shared" ref="BX59:CC59" si="127">+BX60+BX63</f>
        <v>438941666.66666663</v>
      </c>
      <c r="BY59" s="294">
        <f t="shared" si="127"/>
        <v>471941666.66666603</v>
      </c>
      <c r="BZ59" s="294">
        <f t="shared" si="127"/>
        <v>465141666.66666603</v>
      </c>
      <c r="CA59" s="294">
        <f t="shared" si="127"/>
        <v>465141666.66666603</v>
      </c>
      <c r="CB59" s="294">
        <f t="shared" si="127"/>
        <v>465141666.66666603</v>
      </c>
      <c r="CC59" s="294">
        <f t="shared" si="127"/>
        <v>465141666.66666603</v>
      </c>
      <c r="CD59" s="299">
        <f>+CD60+CD63</f>
        <v>465141666.66666603</v>
      </c>
      <c r="CE59" s="298">
        <f>+CE60+CE63</f>
        <v>3300000</v>
      </c>
      <c r="CF59" s="294">
        <f>+CF60+CF63</f>
        <v>13600000</v>
      </c>
      <c r="CG59" s="294">
        <f t="shared" ref="CG59:CM59" si="128">+CG60+CG63</f>
        <v>3400000</v>
      </c>
      <c r="CH59" s="294">
        <f t="shared" si="128"/>
        <v>370066666.66666603</v>
      </c>
      <c r="CI59" s="294">
        <f t="shared" si="128"/>
        <v>366666666.66666603</v>
      </c>
      <c r="CJ59" s="294">
        <f t="shared" si="128"/>
        <v>366666666.66666603</v>
      </c>
      <c r="CK59" s="294">
        <f t="shared" si="128"/>
        <v>366666666.66666603</v>
      </c>
      <c r="CL59" s="294">
        <f t="shared" si="128"/>
        <v>366666666.66666603</v>
      </c>
      <c r="CM59" s="294">
        <f t="shared" si="128"/>
        <v>366666666.66666603</v>
      </c>
      <c r="CN59" s="299">
        <f t="shared" si="122"/>
        <v>2223699999.9999962</v>
      </c>
      <c r="CO59" s="300"/>
      <c r="CP59" s="302">
        <f>+CP60+CP63</f>
        <v>6000</v>
      </c>
      <c r="CQ59" s="288"/>
      <c r="CR59" s="288"/>
      <c r="CS59" s="288"/>
      <c r="CT59" s="288"/>
      <c r="CU59" s="288"/>
      <c r="CV59" s="303">
        <f>+CV60+CV63</f>
        <v>2220399999.9999962</v>
      </c>
      <c r="CW59" s="293"/>
      <c r="CX59" s="304"/>
    </row>
    <row r="60" spans="1:102" ht="26.1" hidden="1" customHeight="1" x14ac:dyDescent="0.25">
      <c r="A60" s="143" t="s">
        <v>54</v>
      </c>
      <c r="B60" s="360"/>
      <c r="C60" s="447" t="s">
        <v>54</v>
      </c>
      <c r="D60" s="154" t="s">
        <v>716</v>
      </c>
      <c r="E60" s="448" t="s">
        <v>490</v>
      </c>
      <c r="F60" s="145"/>
      <c r="G60" s="60"/>
      <c r="H60" s="453"/>
      <c r="I60" s="549"/>
      <c r="J60" s="550"/>
      <c r="K60" s="147" t="s">
        <v>254</v>
      </c>
      <c r="L60" s="148" t="s">
        <v>255</v>
      </c>
      <c r="M60" s="149" t="s">
        <v>256</v>
      </c>
      <c r="O60" s="143" t="s">
        <v>54</v>
      </c>
      <c r="P60" s="150"/>
      <c r="Q60" s="145"/>
      <c r="R60" s="145"/>
      <c r="S60" s="145"/>
      <c r="T60" s="145"/>
      <c r="U60" s="145"/>
      <c r="V60" s="145"/>
      <c r="W60" s="145"/>
      <c r="X60" s="145"/>
      <c r="Y60" s="145"/>
      <c r="Z60" s="145"/>
      <c r="AA60" s="145"/>
      <c r="AB60" s="145"/>
      <c r="AC60" s="145"/>
      <c r="AD60" s="145"/>
      <c r="AE60" s="145"/>
      <c r="AF60" s="151"/>
      <c r="AG60" s="150"/>
      <c r="AH60" s="145"/>
      <c r="AI60" s="145"/>
      <c r="AJ60" s="152"/>
      <c r="AK60" s="152"/>
      <c r="AL60" s="152"/>
      <c r="AM60" s="152"/>
      <c r="AN60" s="152"/>
      <c r="AO60" s="152"/>
      <c r="AP60" s="152"/>
      <c r="AQ60" s="152"/>
      <c r="AR60" s="152"/>
      <c r="AS60" s="152"/>
      <c r="AT60" s="152"/>
      <c r="AU60" s="152"/>
      <c r="AV60" s="152"/>
      <c r="AW60" s="152"/>
      <c r="AX60" s="152"/>
      <c r="AY60" s="152"/>
      <c r="AZ60" s="152"/>
      <c r="BA60" s="152"/>
      <c r="BB60" s="152"/>
      <c r="BC60" s="254"/>
      <c r="BD60" s="150"/>
      <c r="BE60" s="154" t="s">
        <v>357</v>
      </c>
      <c r="BF60" s="155"/>
      <c r="BG60" s="156">
        <f>SUM(BG61:BG62)</f>
        <v>0</v>
      </c>
      <c r="BH60" s="157">
        <f>SUM(BH61:BH62)</f>
        <v>432141666.66666663</v>
      </c>
      <c r="BI60" s="152">
        <f>SUM(BI61:BI62)</f>
        <v>432141666.66666663</v>
      </c>
      <c r="BJ60" s="152">
        <f t="shared" ref="BJ60:BP60" si="129">SUM(BJ61:BJ62)</f>
        <v>432141666.66666663</v>
      </c>
      <c r="BK60" s="152">
        <f t="shared" si="129"/>
        <v>98475000</v>
      </c>
      <c r="BL60" s="152">
        <f t="shared" si="129"/>
        <v>98475000</v>
      </c>
      <c r="BM60" s="152">
        <f t="shared" si="129"/>
        <v>98475000</v>
      </c>
      <c r="BN60" s="152">
        <f t="shared" si="129"/>
        <v>98475000</v>
      </c>
      <c r="BO60" s="152">
        <f t="shared" si="129"/>
        <v>98475000</v>
      </c>
      <c r="BP60" s="152">
        <f t="shared" si="129"/>
        <v>98475000</v>
      </c>
      <c r="BQ60" s="156">
        <f t="shared" si="119"/>
        <v>1887275000</v>
      </c>
      <c r="BR60" s="158"/>
      <c r="BS60" s="145"/>
      <c r="BT60" s="145"/>
      <c r="BU60" s="159"/>
      <c r="BV60" s="157">
        <f>SUM(BV61:BV62)</f>
        <v>435441666.66666663</v>
      </c>
      <c r="BW60" s="152">
        <f>SUM(BW61:BW62)</f>
        <v>432141666.66666663</v>
      </c>
      <c r="BX60" s="152">
        <f t="shared" ref="BX60:CC60" si="130">SUM(BX61:BX62)</f>
        <v>432141666.66666663</v>
      </c>
      <c r="BY60" s="152">
        <f t="shared" si="130"/>
        <v>465141666.66666603</v>
      </c>
      <c r="BZ60" s="152">
        <f t="shared" si="130"/>
        <v>465141666.66666603</v>
      </c>
      <c r="CA60" s="152">
        <f t="shared" si="130"/>
        <v>465141666.66666603</v>
      </c>
      <c r="CB60" s="152">
        <f t="shared" si="130"/>
        <v>465141666.66666603</v>
      </c>
      <c r="CC60" s="152">
        <f t="shared" si="130"/>
        <v>465141666.66666603</v>
      </c>
      <c r="CD60" s="156">
        <f>SUM(CD61:CD62)</f>
        <v>465141666.66666603</v>
      </c>
      <c r="CE60" s="157">
        <f>SUM(CE61:CE62)</f>
        <v>3300000</v>
      </c>
      <c r="CF60" s="152">
        <f>SUM(CF61:CF62)</f>
        <v>0</v>
      </c>
      <c r="CG60" s="152">
        <f t="shared" ref="CG60:CM60" si="131">SUM(CG61:CG62)</f>
        <v>0</v>
      </c>
      <c r="CH60" s="152">
        <f t="shared" si="131"/>
        <v>366666666.66666603</v>
      </c>
      <c r="CI60" s="152">
        <f t="shared" si="131"/>
        <v>366666666.66666603</v>
      </c>
      <c r="CJ60" s="152">
        <f t="shared" si="131"/>
        <v>366666666.66666603</v>
      </c>
      <c r="CK60" s="152">
        <f t="shared" si="131"/>
        <v>366666666.66666603</v>
      </c>
      <c r="CL60" s="152">
        <f t="shared" si="131"/>
        <v>366666666.66666603</v>
      </c>
      <c r="CM60" s="152">
        <f t="shared" si="131"/>
        <v>366666666.66666603</v>
      </c>
      <c r="CN60" s="156">
        <f t="shared" si="122"/>
        <v>2203299999.9999962</v>
      </c>
      <c r="CO60" s="158"/>
      <c r="CP60" s="160">
        <f>SUM(CP61:CP62)</f>
        <v>6000</v>
      </c>
      <c r="CQ60" s="145"/>
      <c r="CR60" s="145"/>
      <c r="CS60" s="145"/>
      <c r="CT60" s="145"/>
      <c r="CU60" s="145"/>
      <c r="CV60" s="161">
        <f>SUM(CV61:CV62)</f>
        <v>2199999999.9999962</v>
      </c>
      <c r="CW60" s="151"/>
      <c r="CX60" s="162"/>
    </row>
    <row r="61" spans="1:102" ht="26.1" customHeight="1" x14ac:dyDescent="0.25">
      <c r="A61" s="204" t="s">
        <v>55</v>
      </c>
      <c r="B61" s="362"/>
      <c r="C61" s="450" t="s">
        <v>455</v>
      </c>
      <c r="D61" s="451" t="s">
        <v>717</v>
      </c>
      <c r="E61" s="48" t="s">
        <v>4</v>
      </c>
      <c r="F61" s="255" t="s">
        <v>405</v>
      </c>
      <c r="G61" s="48" t="s">
        <v>397</v>
      </c>
      <c r="H61" s="94" t="s">
        <v>116</v>
      </c>
      <c r="I61" s="547" t="s">
        <v>246</v>
      </c>
      <c r="J61" s="548" t="s">
        <v>230</v>
      </c>
      <c r="K61" s="206"/>
      <c r="L61" s="207"/>
      <c r="M61" s="208"/>
      <c r="O61" s="204" t="s">
        <v>455</v>
      </c>
      <c r="P61" s="47" t="s">
        <v>4</v>
      </c>
      <c r="Q61" s="48" t="s">
        <v>453</v>
      </c>
      <c r="R61" s="48" t="s">
        <v>314</v>
      </c>
      <c r="S61" s="48"/>
      <c r="T61" s="48" t="s">
        <v>314</v>
      </c>
      <c r="U61" s="48" t="s">
        <v>314</v>
      </c>
      <c r="V61" s="48"/>
      <c r="W61" s="48"/>
      <c r="X61" s="48" t="s">
        <v>307</v>
      </c>
      <c r="Y61" s="48"/>
      <c r="Z61" s="48"/>
      <c r="AA61" s="48"/>
      <c r="AB61" s="48"/>
      <c r="AC61" s="48" t="s">
        <v>314</v>
      </c>
      <c r="AD61" s="48"/>
      <c r="AE61" s="48"/>
      <c r="AF61" s="209"/>
      <c r="AG61" s="47" t="s">
        <v>315</v>
      </c>
      <c r="AH61" s="210" t="s">
        <v>319</v>
      </c>
      <c r="AI61" s="68" t="s">
        <v>471</v>
      </c>
      <c r="AJ61" s="170">
        <v>700</v>
      </c>
      <c r="AK61" s="170">
        <v>700</v>
      </c>
      <c r="AL61" s="170">
        <v>700</v>
      </c>
      <c r="AM61" s="170">
        <v>200</v>
      </c>
      <c r="AN61" s="170">
        <v>200</v>
      </c>
      <c r="AO61" s="170">
        <v>200</v>
      </c>
      <c r="AP61" s="170">
        <v>200</v>
      </c>
      <c r="AQ61" s="170">
        <v>200</v>
      </c>
      <c r="AR61" s="170">
        <v>200</v>
      </c>
      <c r="AS61" s="170">
        <v>700</v>
      </c>
      <c r="AT61" s="170">
        <v>700</v>
      </c>
      <c r="AU61" s="170">
        <v>700</v>
      </c>
      <c r="AV61" s="170">
        <v>700</v>
      </c>
      <c r="AW61" s="170">
        <v>700</v>
      </c>
      <c r="AX61" s="170">
        <v>700</v>
      </c>
      <c r="AY61" s="170">
        <v>700</v>
      </c>
      <c r="AZ61" s="170">
        <v>700</v>
      </c>
      <c r="BA61" s="170">
        <v>700</v>
      </c>
      <c r="BB61" s="170"/>
      <c r="BC61" s="170"/>
      <c r="BD61" s="206" t="s">
        <v>311</v>
      </c>
      <c r="BE61" s="68" t="s">
        <v>321</v>
      </c>
      <c r="BF61" s="48" t="s">
        <v>313</v>
      </c>
      <c r="BG61" s="211"/>
      <c r="BH61" s="212">
        <f>98475000+2600000*550*0.7/3</f>
        <v>432141666.66666663</v>
      </c>
      <c r="BI61" s="170">
        <f>98475000+2600000*550*0.7/3</f>
        <v>432141666.66666663</v>
      </c>
      <c r="BJ61" s="170">
        <f>98475000+2600000*550*0.7/3</f>
        <v>432141666.66666663</v>
      </c>
      <c r="BK61" s="170">
        <v>98475000</v>
      </c>
      <c r="BL61" s="170">
        <v>98475000</v>
      </c>
      <c r="BM61" s="170">
        <v>98475000</v>
      </c>
      <c r="BN61" s="170">
        <v>98475000</v>
      </c>
      <c r="BO61" s="170">
        <v>98475000</v>
      </c>
      <c r="BP61" s="170">
        <v>98475000</v>
      </c>
      <c r="BQ61" s="213">
        <f t="shared" si="119"/>
        <v>1887275000</v>
      </c>
      <c r="BR61" s="330">
        <f>98475000*9/(98475000*9+2600000*550)</f>
        <v>0.38262943735091903</v>
      </c>
      <c r="BS61" s="48"/>
      <c r="BT61" s="330">
        <f>2600000*550/(98475000*9+2600000*550)</f>
        <v>0.61737056264908097</v>
      </c>
      <c r="BU61" s="216" t="s">
        <v>454</v>
      </c>
      <c r="BV61" s="212">
        <f>98475000+2600000*550*0.7/3</f>
        <v>432141666.66666663</v>
      </c>
      <c r="BW61" s="170">
        <f>98475000+2600000*550*0.7/3</f>
        <v>432141666.66666663</v>
      </c>
      <c r="BX61" s="170">
        <f>98475000+2600000*550*0.7/3</f>
        <v>432141666.66666663</v>
      </c>
      <c r="BY61" s="170">
        <f t="shared" ref="BY61:CD61" si="132">98475000+2000000*183.333333333333</f>
        <v>465141666.66666603</v>
      </c>
      <c r="BZ61" s="170">
        <f t="shared" si="132"/>
        <v>465141666.66666603</v>
      </c>
      <c r="CA61" s="170">
        <f t="shared" si="132"/>
        <v>465141666.66666603</v>
      </c>
      <c r="CB61" s="170">
        <f t="shared" si="132"/>
        <v>465141666.66666603</v>
      </c>
      <c r="CC61" s="170">
        <f t="shared" si="132"/>
        <v>465141666.66666603</v>
      </c>
      <c r="CD61" s="213">
        <f t="shared" si="132"/>
        <v>465141666.66666603</v>
      </c>
      <c r="CE61" s="217">
        <f>+BV61-BH61</f>
        <v>0</v>
      </c>
      <c r="CF61" s="217">
        <f t="shared" ref="CF61:CM62" si="133">+BW61-BI61</f>
        <v>0</v>
      </c>
      <c r="CG61" s="217">
        <f t="shared" si="133"/>
        <v>0</v>
      </c>
      <c r="CH61" s="217">
        <f t="shared" si="133"/>
        <v>366666666.66666603</v>
      </c>
      <c r="CI61" s="217">
        <f t="shared" si="133"/>
        <v>366666666.66666603</v>
      </c>
      <c r="CJ61" s="217">
        <f t="shared" si="133"/>
        <v>366666666.66666603</v>
      </c>
      <c r="CK61" s="217">
        <f t="shared" si="133"/>
        <v>366666666.66666603</v>
      </c>
      <c r="CL61" s="217">
        <f t="shared" si="133"/>
        <v>366666666.66666603</v>
      </c>
      <c r="CM61" s="217">
        <f t="shared" si="133"/>
        <v>366666666.66666603</v>
      </c>
      <c r="CN61" s="218">
        <f t="shared" si="122"/>
        <v>2199999999.9999962</v>
      </c>
      <c r="CO61" s="219"/>
      <c r="CP61" s="220"/>
      <c r="CQ61" s="220"/>
      <c r="CR61" s="210"/>
      <c r="CS61" s="210"/>
      <c r="CT61" s="210"/>
      <c r="CU61" s="210"/>
      <c r="CV61" s="221">
        <f>+CN61-CP61*550</f>
        <v>2199999999.9999962</v>
      </c>
      <c r="CW61" s="222"/>
      <c r="CX61" s="258"/>
    </row>
    <row r="62" spans="1:102" ht="26.1" customHeight="1" x14ac:dyDescent="0.25">
      <c r="A62" s="312" t="s">
        <v>57</v>
      </c>
      <c r="B62" s="364"/>
      <c r="C62" s="450" t="s">
        <v>57</v>
      </c>
      <c r="D62" s="451" t="s">
        <v>718</v>
      </c>
      <c r="E62" s="424" t="s">
        <v>2</v>
      </c>
      <c r="F62" s="424" t="s">
        <v>403</v>
      </c>
      <c r="G62" s="424" t="s">
        <v>393</v>
      </c>
      <c r="H62" s="94" t="s">
        <v>118</v>
      </c>
      <c r="I62" s="547" t="s">
        <v>246</v>
      </c>
      <c r="J62" s="548" t="s">
        <v>230</v>
      </c>
      <c r="K62" s="206"/>
      <c r="L62" s="207"/>
      <c r="M62" s="208"/>
      <c r="O62" s="422" t="s">
        <v>57</v>
      </c>
      <c r="P62" s="423" t="s">
        <v>3</v>
      </c>
      <c r="Q62" s="424" t="s">
        <v>400</v>
      </c>
      <c r="R62" s="424"/>
      <c r="S62" s="424" t="s">
        <v>307</v>
      </c>
      <c r="T62" s="424"/>
      <c r="U62" s="424"/>
      <c r="V62" s="424" t="s">
        <v>314</v>
      </c>
      <c r="W62" s="424"/>
      <c r="X62" s="424" t="s">
        <v>314</v>
      </c>
      <c r="Y62" s="424"/>
      <c r="Z62" s="424"/>
      <c r="AA62" s="424"/>
      <c r="AB62" s="424"/>
      <c r="AC62" s="424" t="s">
        <v>314</v>
      </c>
      <c r="AD62" s="424"/>
      <c r="AE62" s="424"/>
      <c r="AF62" s="425"/>
      <c r="AG62" s="423" t="s">
        <v>315</v>
      </c>
      <c r="AH62" s="426" t="s">
        <v>316</v>
      </c>
      <c r="AI62" s="427" t="s">
        <v>481</v>
      </c>
      <c r="AJ62" s="317">
        <v>0</v>
      </c>
      <c r="AK62" s="317">
        <v>0</v>
      </c>
      <c r="AL62" s="317">
        <v>0</v>
      </c>
      <c r="AM62" s="317">
        <v>0</v>
      </c>
      <c r="AN62" s="317">
        <v>0</v>
      </c>
      <c r="AO62" s="317">
        <v>0</v>
      </c>
      <c r="AP62" s="317">
        <v>0</v>
      </c>
      <c r="AQ62" s="317">
        <v>0</v>
      </c>
      <c r="AR62" s="317">
        <v>0</v>
      </c>
      <c r="AS62" s="317">
        <v>1</v>
      </c>
      <c r="AT62" s="317">
        <v>0</v>
      </c>
      <c r="AU62" s="317">
        <v>0</v>
      </c>
      <c r="AV62" s="317">
        <v>0</v>
      </c>
      <c r="AW62" s="317">
        <v>0</v>
      </c>
      <c r="AX62" s="317">
        <v>0</v>
      </c>
      <c r="AY62" s="317">
        <v>0</v>
      </c>
      <c r="AZ62" s="317">
        <v>0</v>
      </c>
      <c r="BA62" s="317">
        <v>0</v>
      </c>
      <c r="BB62" s="317"/>
      <c r="BC62" s="318"/>
      <c r="BD62" s="319" t="s">
        <v>318</v>
      </c>
      <c r="BE62" s="68" t="s">
        <v>349</v>
      </c>
      <c r="BF62" s="77" t="s">
        <v>313</v>
      </c>
      <c r="BG62" s="320"/>
      <c r="BH62" s="321">
        <v>0</v>
      </c>
      <c r="BI62" s="317">
        <v>0</v>
      </c>
      <c r="BJ62" s="317">
        <v>0</v>
      </c>
      <c r="BK62" s="317">
        <v>0</v>
      </c>
      <c r="BL62" s="317">
        <v>0</v>
      </c>
      <c r="BM62" s="317">
        <v>0</v>
      </c>
      <c r="BN62" s="317">
        <v>0</v>
      </c>
      <c r="BO62" s="317">
        <v>0</v>
      </c>
      <c r="BP62" s="317">
        <v>0</v>
      </c>
      <c r="BQ62" s="324">
        <f t="shared" si="119"/>
        <v>0</v>
      </c>
      <c r="BR62" s="322"/>
      <c r="BS62" s="77"/>
      <c r="BT62" s="77"/>
      <c r="BU62" s="323"/>
      <c r="BV62" s="321">
        <f>6000*550</f>
        <v>3300000</v>
      </c>
      <c r="BW62" s="317">
        <v>0</v>
      </c>
      <c r="BX62" s="317">
        <v>0</v>
      </c>
      <c r="BY62" s="317">
        <v>0</v>
      </c>
      <c r="BZ62" s="317">
        <v>0</v>
      </c>
      <c r="CA62" s="317">
        <v>0</v>
      </c>
      <c r="CB62" s="317">
        <v>0</v>
      </c>
      <c r="CC62" s="317">
        <v>0</v>
      </c>
      <c r="CD62" s="324">
        <v>0</v>
      </c>
      <c r="CE62" s="217">
        <f>+BV62-BH62</f>
        <v>3300000</v>
      </c>
      <c r="CF62" s="170">
        <f>+BW62-BI62</f>
        <v>0</v>
      </c>
      <c r="CG62" s="170">
        <f t="shared" si="133"/>
        <v>0</v>
      </c>
      <c r="CH62" s="170">
        <f t="shared" si="133"/>
        <v>0</v>
      </c>
      <c r="CI62" s="170">
        <f t="shared" si="133"/>
        <v>0</v>
      </c>
      <c r="CJ62" s="170">
        <f t="shared" si="133"/>
        <v>0</v>
      </c>
      <c r="CK62" s="170">
        <f t="shared" si="133"/>
        <v>0</v>
      </c>
      <c r="CL62" s="170">
        <f t="shared" si="133"/>
        <v>0</v>
      </c>
      <c r="CM62" s="170">
        <f t="shared" si="133"/>
        <v>0</v>
      </c>
      <c r="CN62" s="218">
        <f t="shared" si="122"/>
        <v>3300000</v>
      </c>
      <c r="CO62" s="325"/>
      <c r="CP62" s="326">
        <v>6000</v>
      </c>
      <c r="CQ62" s="326"/>
      <c r="CR62" s="315"/>
      <c r="CS62" s="315"/>
      <c r="CT62" s="315"/>
      <c r="CU62" s="315"/>
      <c r="CV62" s="221">
        <f>+CN62-CP62*550</f>
        <v>0</v>
      </c>
      <c r="CW62" s="327"/>
      <c r="CX62" s="328"/>
    </row>
    <row r="63" spans="1:102" ht="26.1" hidden="1" customHeight="1" x14ac:dyDescent="0.25">
      <c r="A63" s="143" t="s">
        <v>249</v>
      </c>
      <c r="B63" s="360"/>
      <c r="C63" s="447" t="s">
        <v>249</v>
      </c>
      <c r="D63" s="154" t="s">
        <v>719</v>
      </c>
      <c r="E63" s="448" t="s">
        <v>4</v>
      </c>
      <c r="F63" s="145"/>
      <c r="G63" s="60"/>
      <c r="H63" s="453"/>
      <c r="I63" s="549"/>
      <c r="J63" s="550"/>
      <c r="K63" s="147" t="s">
        <v>257</v>
      </c>
      <c r="L63" s="148"/>
      <c r="M63" s="149"/>
      <c r="O63" s="143" t="s">
        <v>249</v>
      </c>
      <c r="P63" s="150"/>
      <c r="Q63" s="145"/>
      <c r="R63" s="145"/>
      <c r="S63" s="145"/>
      <c r="T63" s="145"/>
      <c r="U63" s="145"/>
      <c r="V63" s="145"/>
      <c r="W63" s="145"/>
      <c r="X63" s="145"/>
      <c r="Y63" s="145"/>
      <c r="Z63" s="145"/>
      <c r="AA63" s="145"/>
      <c r="AB63" s="145"/>
      <c r="AC63" s="145"/>
      <c r="AD63" s="145"/>
      <c r="AE63" s="145"/>
      <c r="AF63" s="151"/>
      <c r="AG63" s="150"/>
      <c r="AH63" s="145"/>
      <c r="AI63" s="145"/>
      <c r="AJ63" s="152"/>
      <c r="AK63" s="152"/>
      <c r="AL63" s="152"/>
      <c r="AM63" s="152"/>
      <c r="AN63" s="152"/>
      <c r="AO63" s="152"/>
      <c r="AP63" s="152"/>
      <c r="AQ63" s="152"/>
      <c r="AR63" s="152"/>
      <c r="AS63" s="152"/>
      <c r="AT63" s="152"/>
      <c r="AU63" s="152"/>
      <c r="AV63" s="152"/>
      <c r="AW63" s="152"/>
      <c r="AX63" s="152"/>
      <c r="AY63" s="152"/>
      <c r="AZ63" s="152"/>
      <c r="BA63" s="152"/>
      <c r="BB63" s="152"/>
      <c r="BC63" s="254"/>
      <c r="BD63" s="150"/>
      <c r="BE63" s="154" t="s">
        <v>355</v>
      </c>
      <c r="BF63" s="155"/>
      <c r="BG63" s="156">
        <f>SUM(BG64)</f>
        <v>0</v>
      </c>
      <c r="BH63" s="157">
        <f>SUM(BH64)</f>
        <v>0</v>
      </c>
      <c r="BI63" s="152">
        <f>SUM(BI64)</f>
        <v>6800000</v>
      </c>
      <c r="BJ63" s="152">
        <f>SUM(BJ64)</f>
        <v>3400000</v>
      </c>
      <c r="BK63" s="152">
        <f t="shared" ref="BK63:BP63" si="134">SUM(BK64)</f>
        <v>3400000</v>
      </c>
      <c r="BL63" s="152">
        <f t="shared" si="134"/>
        <v>0</v>
      </c>
      <c r="BM63" s="152">
        <f t="shared" si="134"/>
        <v>0</v>
      </c>
      <c r="BN63" s="152">
        <f t="shared" si="134"/>
        <v>0</v>
      </c>
      <c r="BO63" s="152">
        <f t="shared" si="134"/>
        <v>0</v>
      </c>
      <c r="BP63" s="152">
        <f t="shared" si="134"/>
        <v>0</v>
      </c>
      <c r="BQ63" s="156">
        <f t="shared" si="119"/>
        <v>13600000</v>
      </c>
      <c r="BR63" s="158"/>
      <c r="BS63" s="145"/>
      <c r="BT63" s="145"/>
      <c r="BU63" s="159"/>
      <c r="BV63" s="157">
        <f>SUM(BV64)</f>
        <v>0</v>
      </c>
      <c r="BW63" s="152">
        <f>SUM(BW64)</f>
        <v>20400000</v>
      </c>
      <c r="BX63" s="152">
        <f t="shared" ref="BX63:CC63" si="135">SUM(BX64)</f>
        <v>6800000</v>
      </c>
      <c r="BY63" s="152">
        <f t="shared" si="135"/>
        <v>6800000</v>
      </c>
      <c r="BZ63" s="152">
        <f t="shared" si="135"/>
        <v>0</v>
      </c>
      <c r="CA63" s="152">
        <f t="shared" si="135"/>
        <v>0</v>
      </c>
      <c r="CB63" s="152">
        <f t="shared" si="135"/>
        <v>0</v>
      </c>
      <c r="CC63" s="152">
        <f t="shared" si="135"/>
        <v>0</v>
      </c>
      <c r="CD63" s="156">
        <f>SUM(CD64)</f>
        <v>0</v>
      </c>
      <c r="CE63" s="157">
        <f>SUM(CE64)</f>
        <v>0</v>
      </c>
      <c r="CF63" s="152">
        <f>SUM(CF64)</f>
        <v>13600000</v>
      </c>
      <c r="CG63" s="152">
        <f t="shared" ref="CG63:CM63" si="136">SUM(CG64)</f>
        <v>3400000</v>
      </c>
      <c r="CH63" s="152">
        <f t="shared" si="136"/>
        <v>3400000</v>
      </c>
      <c r="CI63" s="152">
        <f t="shared" si="136"/>
        <v>0</v>
      </c>
      <c r="CJ63" s="152">
        <f t="shared" si="136"/>
        <v>0</v>
      </c>
      <c r="CK63" s="152">
        <f t="shared" si="136"/>
        <v>0</v>
      </c>
      <c r="CL63" s="152">
        <f t="shared" si="136"/>
        <v>0</v>
      </c>
      <c r="CM63" s="152">
        <f t="shared" si="136"/>
        <v>0</v>
      </c>
      <c r="CN63" s="156">
        <f t="shared" si="122"/>
        <v>20400000</v>
      </c>
      <c r="CO63" s="158"/>
      <c r="CP63" s="160">
        <f>SUM(CP64)</f>
        <v>0</v>
      </c>
      <c r="CQ63" s="145"/>
      <c r="CR63" s="145"/>
      <c r="CS63" s="145"/>
      <c r="CT63" s="145"/>
      <c r="CU63" s="145"/>
      <c r="CV63" s="161">
        <f>SUM(CV64)</f>
        <v>20400000</v>
      </c>
      <c r="CW63" s="151"/>
      <c r="CX63" s="162"/>
    </row>
    <row r="64" spans="1:102" ht="26.1" customHeight="1" thickBot="1" x14ac:dyDescent="0.3">
      <c r="A64" s="204" t="s">
        <v>56</v>
      </c>
      <c r="B64" s="362"/>
      <c r="C64" s="460" t="s">
        <v>56</v>
      </c>
      <c r="D64" s="451" t="s">
        <v>720</v>
      </c>
      <c r="E64" s="356" t="s">
        <v>4</v>
      </c>
      <c r="F64" s="356" t="s">
        <v>404</v>
      </c>
      <c r="G64" s="356" t="s">
        <v>394</v>
      </c>
      <c r="H64" s="357" t="s">
        <v>117</v>
      </c>
      <c r="I64" s="547"/>
      <c r="J64" s="548" t="s">
        <v>230</v>
      </c>
      <c r="K64" s="206"/>
      <c r="L64" s="207"/>
      <c r="M64" s="208"/>
      <c r="O64" s="204" t="s">
        <v>56</v>
      </c>
      <c r="P64" s="47" t="s">
        <v>4</v>
      </c>
      <c r="Q64" s="48" t="s">
        <v>404</v>
      </c>
      <c r="R64" s="48" t="s">
        <v>314</v>
      </c>
      <c r="S64" s="48" t="s">
        <v>314</v>
      </c>
      <c r="T64" s="48" t="s">
        <v>314</v>
      </c>
      <c r="U64" s="48"/>
      <c r="V64" s="48" t="s">
        <v>314</v>
      </c>
      <c r="W64" s="48"/>
      <c r="X64" s="48" t="s">
        <v>307</v>
      </c>
      <c r="Y64" s="48"/>
      <c r="Z64" s="48"/>
      <c r="AA64" s="48"/>
      <c r="AB64" s="48"/>
      <c r="AC64" s="48" t="s">
        <v>314</v>
      </c>
      <c r="AD64" s="48"/>
      <c r="AE64" s="48"/>
      <c r="AF64" s="209"/>
      <c r="AG64" s="47" t="s">
        <v>315</v>
      </c>
      <c r="AH64" s="210" t="s">
        <v>316</v>
      </c>
      <c r="AI64" s="267" t="s">
        <v>317</v>
      </c>
      <c r="AJ64" s="251">
        <v>0</v>
      </c>
      <c r="AK64" s="251">
        <v>1</v>
      </c>
      <c r="AL64" s="251">
        <v>0.5</v>
      </c>
      <c r="AM64" s="251">
        <v>0.5</v>
      </c>
      <c r="AN64" s="251">
        <v>0</v>
      </c>
      <c r="AO64" s="251">
        <v>0</v>
      </c>
      <c r="AP64" s="251">
        <v>0</v>
      </c>
      <c r="AQ64" s="251">
        <v>0</v>
      </c>
      <c r="AR64" s="251">
        <v>0</v>
      </c>
      <c r="AS64" s="251">
        <v>0</v>
      </c>
      <c r="AT64" s="251">
        <v>3</v>
      </c>
      <c r="AU64" s="251">
        <v>1</v>
      </c>
      <c r="AV64" s="251">
        <v>1</v>
      </c>
      <c r="AW64" s="251">
        <v>0</v>
      </c>
      <c r="AX64" s="251">
        <v>0</v>
      </c>
      <c r="AY64" s="251">
        <v>0</v>
      </c>
      <c r="AZ64" s="251">
        <v>0</v>
      </c>
      <c r="BA64" s="251">
        <v>0</v>
      </c>
      <c r="BB64" s="251"/>
      <c r="BC64" s="331"/>
      <c r="BD64" s="206" t="s">
        <v>318</v>
      </c>
      <c r="BE64" s="257" t="s">
        <v>312</v>
      </c>
      <c r="BF64" s="48" t="s">
        <v>313</v>
      </c>
      <c r="BG64" s="269">
        <v>0</v>
      </c>
      <c r="BH64" s="212">
        <f t="shared" ref="BH64:BP64" si="137">6800000*AJ64</f>
        <v>0</v>
      </c>
      <c r="BI64" s="170">
        <f t="shared" si="137"/>
        <v>6800000</v>
      </c>
      <c r="BJ64" s="170">
        <f t="shared" si="137"/>
        <v>3400000</v>
      </c>
      <c r="BK64" s="170">
        <f t="shared" si="137"/>
        <v>3400000</v>
      </c>
      <c r="BL64" s="170">
        <f t="shared" si="137"/>
        <v>0</v>
      </c>
      <c r="BM64" s="170">
        <f t="shared" si="137"/>
        <v>0</v>
      </c>
      <c r="BN64" s="170">
        <f t="shared" si="137"/>
        <v>0</v>
      </c>
      <c r="BO64" s="170">
        <f t="shared" si="137"/>
        <v>0</v>
      </c>
      <c r="BP64" s="170">
        <f t="shared" si="137"/>
        <v>0</v>
      </c>
      <c r="BQ64" s="213">
        <f t="shared" si="119"/>
        <v>13600000</v>
      </c>
      <c r="BR64" s="242">
        <v>1</v>
      </c>
      <c r="BS64" s="48"/>
      <c r="BT64" s="48"/>
      <c r="BU64" s="243"/>
      <c r="BV64" s="212">
        <f>6800000*AS64</f>
        <v>0</v>
      </c>
      <c r="BW64" s="170">
        <f t="shared" ref="BW64:CD64" si="138">6800000*AT64</f>
        <v>20400000</v>
      </c>
      <c r="BX64" s="170">
        <f t="shared" si="138"/>
        <v>6800000</v>
      </c>
      <c r="BY64" s="170">
        <f t="shared" si="138"/>
        <v>6800000</v>
      </c>
      <c r="BZ64" s="170">
        <f t="shared" si="138"/>
        <v>0</v>
      </c>
      <c r="CA64" s="170">
        <f t="shared" si="138"/>
        <v>0</v>
      </c>
      <c r="CB64" s="170">
        <f t="shared" si="138"/>
        <v>0</v>
      </c>
      <c r="CC64" s="170">
        <f t="shared" si="138"/>
        <v>0</v>
      </c>
      <c r="CD64" s="213">
        <f t="shared" si="138"/>
        <v>0</v>
      </c>
      <c r="CE64" s="212">
        <f>+BV64-BH64</f>
        <v>0</v>
      </c>
      <c r="CF64" s="170">
        <f t="shared" ref="CF64:CM64" si="139">+BW64-BI64</f>
        <v>13600000</v>
      </c>
      <c r="CG64" s="170">
        <f t="shared" si="139"/>
        <v>3400000</v>
      </c>
      <c r="CH64" s="170">
        <f t="shared" si="139"/>
        <v>3400000</v>
      </c>
      <c r="CI64" s="170">
        <f t="shared" si="139"/>
        <v>0</v>
      </c>
      <c r="CJ64" s="170">
        <f t="shared" si="139"/>
        <v>0</v>
      </c>
      <c r="CK64" s="170">
        <f t="shared" si="139"/>
        <v>0</v>
      </c>
      <c r="CL64" s="170">
        <f t="shared" si="139"/>
        <v>0</v>
      </c>
      <c r="CM64" s="170">
        <f t="shared" si="139"/>
        <v>0</v>
      </c>
      <c r="CN64" s="213">
        <f t="shared" si="122"/>
        <v>20400000</v>
      </c>
      <c r="CO64" s="219"/>
      <c r="CP64" s="220"/>
      <c r="CQ64" s="220"/>
      <c r="CR64" s="210"/>
      <c r="CS64" s="210"/>
      <c r="CT64" s="210"/>
      <c r="CU64" s="210"/>
      <c r="CV64" s="221">
        <f>+CN64-CP64*550</f>
        <v>20400000</v>
      </c>
      <c r="CW64" s="222"/>
      <c r="CX64" s="246"/>
    </row>
    <row r="65" spans="1:102" ht="26.1" hidden="1" customHeight="1" x14ac:dyDescent="0.25">
      <c r="A65" s="123" t="s">
        <v>60</v>
      </c>
      <c r="B65" s="359"/>
      <c r="C65" s="461" t="s">
        <v>60</v>
      </c>
      <c r="D65" s="462" t="s">
        <v>721</v>
      </c>
      <c r="E65" s="463"/>
      <c r="F65" s="464"/>
      <c r="G65" s="463"/>
      <c r="H65" s="465"/>
      <c r="I65" s="553"/>
      <c r="J65" s="554"/>
      <c r="K65" s="128"/>
      <c r="L65" s="129"/>
      <c r="M65" s="130"/>
      <c r="O65" s="123" t="s">
        <v>60</v>
      </c>
      <c r="P65" s="131"/>
      <c r="Q65" s="126"/>
      <c r="R65" s="126"/>
      <c r="S65" s="126"/>
      <c r="T65" s="126"/>
      <c r="U65" s="126"/>
      <c r="V65" s="126"/>
      <c r="W65" s="126"/>
      <c r="X65" s="126"/>
      <c r="Y65" s="126"/>
      <c r="Z65" s="126"/>
      <c r="AA65" s="126"/>
      <c r="AB65" s="126"/>
      <c r="AC65" s="126"/>
      <c r="AD65" s="126"/>
      <c r="AE65" s="126"/>
      <c r="AF65" s="132"/>
      <c r="AG65" s="131"/>
      <c r="AH65" s="126"/>
      <c r="AI65" s="126"/>
      <c r="AJ65" s="133"/>
      <c r="AK65" s="133"/>
      <c r="AL65" s="133"/>
      <c r="AM65" s="133"/>
      <c r="AN65" s="133"/>
      <c r="AO65" s="133"/>
      <c r="AP65" s="133"/>
      <c r="AQ65" s="133"/>
      <c r="AR65" s="133"/>
      <c r="AS65" s="133"/>
      <c r="AT65" s="133"/>
      <c r="AU65" s="133"/>
      <c r="AV65" s="133"/>
      <c r="AW65" s="133"/>
      <c r="AX65" s="133"/>
      <c r="AY65" s="133"/>
      <c r="AZ65" s="133"/>
      <c r="BA65" s="133"/>
      <c r="BB65" s="133"/>
      <c r="BC65" s="263"/>
      <c r="BD65" s="131"/>
      <c r="BE65" s="126"/>
      <c r="BF65" s="134"/>
      <c r="BG65" s="135">
        <f t="shared" ref="BG65:BP65" si="140">+BG66+BG70+BG74+BG76+BG78+BG82+BG85+BG87+BG91+BG95+BG97</f>
        <v>65700000</v>
      </c>
      <c r="BH65" s="136">
        <f t="shared" si="140"/>
        <v>174410000</v>
      </c>
      <c r="BI65" s="133">
        <f t="shared" si="140"/>
        <v>176694800</v>
      </c>
      <c r="BJ65" s="133">
        <f t="shared" si="140"/>
        <v>146060810.66666669</v>
      </c>
      <c r="BK65" s="133">
        <f t="shared" si="140"/>
        <v>117241801.65333331</v>
      </c>
      <c r="BL65" s="133">
        <f t="shared" si="140"/>
        <v>87538222.369599998</v>
      </c>
      <c r="BM65" s="133">
        <f t="shared" si="140"/>
        <v>88983869.040688008</v>
      </c>
      <c r="BN65" s="133">
        <f t="shared" si="140"/>
        <v>88645885.111908644</v>
      </c>
      <c r="BO65" s="133">
        <f t="shared" si="140"/>
        <v>90124761.665265903</v>
      </c>
      <c r="BP65" s="133">
        <f t="shared" si="140"/>
        <v>89821004.515223876</v>
      </c>
      <c r="BQ65" s="137">
        <f t="shared" si="119"/>
        <v>1059521155.0226865</v>
      </c>
      <c r="BR65" s="138"/>
      <c r="BS65" s="126"/>
      <c r="BT65" s="126"/>
      <c r="BU65" s="139"/>
      <c r="BV65" s="136">
        <f t="shared" ref="BV65:CM65" si="141">+BV66+BV70+BV74+BV76+BV78+BV82+BV85+BV87+BV91+BV95+BV97</f>
        <v>711420000</v>
      </c>
      <c r="BW65" s="133">
        <f t="shared" si="141"/>
        <v>816335400</v>
      </c>
      <c r="BX65" s="133">
        <f t="shared" si="141"/>
        <v>468270392.66666669</v>
      </c>
      <c r="BY65" s="133">
        <f t="shared" si="141"/>
        <v>324886250.39333332</v>
      </c>
      <c r="BZ65" s="133">
        <f t="shared" si="141"/>
        <v>265911447.43739998</v>
      </c>
      <c r="CA65" s="133">
        <f t="shared" si="141"/>
        <v>275428342.58343399</v>
      </c>
      <c r="CB65" s="133">
        <f t="shared" si="141"/>
        <v>287573195.61830729</v>
      </c>
      <c r="CC65" s="133">
        <f t="shared" si="141"/>
        <v>334216184.29937416</v>
      </c>
      <c r="CD65" s="133">
        <f t="shared" si="141"/>
        <v>309608088.49712336</v>
      </c>
      <c r="CE65" s="136">
        <f t="shared" si="141"/>
        <v>537010000</v>
      </c>
      <c r="CF65" s="133">
        <f t="shared" si="141"/>
        <v>639640600</v>
      </c>
      <c r="CG65" s="133">
        <f t="shared" si="141"/>
        <v>322209582</v>
      </c>
      <c r="CH65" s="133">
        <f t="shared" si="141"/>
        <v>207644448.74000001</v>
      </c>
      <c r="CI65" s="133">
        <f t="shared" si="141"/>
        <v>178373225.06779999</v>
      </c>
      <c r="CJ65" s="133">
        <f t="shared" si="141"/>
        <v>186444473.54274601</v>
      </c>
      <c r="CK65" s="133">
        <f t="shared" si="141"/>
        <v>210327310.50639862</v>
      </c>
      <c r="CL65" s="133">
        <f t="shared" si="141"/>
        <v>244091422.63410825</v>
      </c>
      <c r="CM65" s="133">
        <f t="shared" si="141"/>
        <v>219787083.98189947</v>
      </c>
      <c r="CN65" s="137">
        <f t="shared" si="122"/>
        <v>2745528146.4729519</v>
      </c>
      <c r="CO65" s="138"/>
      <c r="CP65" s="140">
        <f>+CP66+CP70+CP74+CP76+CP78+CP82+CP85+CP87+CP91+CP95+CP97</f>
        <v>2666500</v>
      </c>
      <c r="CQ65" s="126"/>
      <c r="CR65" s="126"/>
      <c r="CS65" s="126"/>
      <c r="CT65" s="126"/>
      <c r="CU65" s="126"/>
      <c r="CV65" s="141">
        <f>+CV66+CV70+CV74+CV76+CV78+CV82+CV85+CV87+CV91+CV95+CV97</f>
        <v>1278953146.4729521</v>
      </c>
      <c r="CW65" s="132"/>
      <c r="CX65" s="142"/>
    </row>
    <row r="66" spans="1:102" ht="26.1" hidden="1" customHeight="1" x14ac:dyDescent="0.25">
      <c r="A66" s="143" t="s">
        <v>61</v>
      </c>
      <c r="B66" s="360"/>
      <c r="C66" s="447" t="s">
        <v>61</v>
      </c>
      <c r="D66" s="154" t="s">
        <v>722</v>
      </c>
      <c r="E66" s="448" t="s">
        <v>4</v>
      </c>
      <c r="F66" s="145"/>
      <c r="G66" s="60"/>
      <c r="H66" s="453"/>
      <c r="I66" s="549"/>
      <c r="J66" s="550"/>
      <c r="K66" s="147" t="s">
        <v>259</v>
      </c>
      <c r="L66" s="148"/>
      <c r="M66" s="149"/>
      <c r="O66" s="143" t="s">
        <v>61</v>
      </c>
      <c r="P66" s="150"/>
      <c r="Q66" s="145"/>
      <c r="R66" s="145"/>
      <c r="S66" s="145"/>
      <c r="T66" s="145"/>
      <c r="U66" s="145"/>
      <c r="V66" s="145"/>
      <c r="W66" s="145"/>
      <c r="X66" s="145"/>
      <c r="Y66" s="145"/>
      <c r="Z66" s="145"/>
      <c r="AA66" s="145"/>
      <c r="AB66" s="145"/>
      <c r="AC66" s="145"/>
      <c r="AD66" s="145"/>
      <c r="AE66" s="145"/>
      <c r="AF66" s="151"/>
      <c r="AG66" s="150"/>
      <c r="AH66" s="145"/>
      <c r="AI66" s="145"/>
      <c r="AJ66" s="152"/>
      <c r="AK66" s="152"/>
      <c r="AL66" s="152"/>
      <c r="AM66" s="152"/>
      <c r="AN66" s="152"/>
      <c r="AO66" s="152"/>
      <c r="AP66" s="152"/>
      <c r="AQ66" s="152"/>
      <c r="AR66" s="152"/>
      <c r="AS66" s="152"/>
      <c r="AT66" s="152"/>
      <c r="AU66" s="152"/>
      <c r="AV66" s="152"/>
      <c r="AW66" s="152"/>
      <c r="AX66" s="152"/>
      <c r="AY66" s="152"/>
      <c r="AZ66" s="152"/>
      <c r="BA66" s="152"/>
      <c r="BB66" s="152"/>
      <c r="BC66" s="254"/>
      <c r="BD66" s="150"/>
      <c r="BE66" s="154" t="s">
        <v>357</v>
      </c>
      <c r="BF66" s="155"/>
      <c r="BG66" s="156">
        <f>SUM(BG67:BG69)</f>
        <v>12000000</v>
      </c>
      <c r="BH66" s="157">
        <f>SUM(BH67:BH69)</f>
        <v>16160000</v>
      </c>
      <c r="BI66" s="152">
        <f>SUM(BI67:BI69)</f>
        <v>16644800</v>
      </c>
      <c r="BJ66" s="152">
        <f t="shared" ref="BJ66:BP66" si="142">SUM(BJ67:BJ69)</f>
        <v>17144144</v>
      </c>
      <c r="BK66" s="152">
        <f t="shared" si="142"/>
        <v>17658468.32</v>
      </c>
      <c r="BL66" s="152">
        <f t="shared" si="142"/>
        <v>18188222.369600002</v>
      </c>
      <c r="BM66" s="152">
        <f t="shared" si="142"/>
        <v>18733869.040688001</v>
      </c>
      <c r="BN66" s="152">
        <f t="shared" si="142"/>
        <v>19295885.111908644</v>
      </c>
      <c r="BO66" s="152">
        <f t="shared" si="142"/>
        <v>19874761.665265903</v>
      </c>
      <c r="BP66" s="152">
        <f t="shared" si="142"/>
        <v>20471004.515223879</v>
      </c>
      <c r="BQ66" s="156">
        <f t="shared" si="119"/>
        <v>164171155.02268645</v>
      </c>
      <c r="BR66" s="158"/>
      <c r="BS66" s="145"/>
      <c r="BT66" s="145"/>
      <c r="BU66" s="159"/>
      <c r="BV66" s="157">
        <f>SUM(BV67:BV69)</f>
        <v>61310000</v>
      </c>
      <c r="BW66" s="152">
        <f>SUM(BW67:BW69)</f>
        <v>122161800</v>
      </c>
      <c r="BX66" s="152">
        <f t="shared" ref="BX66:CC66" si="143">SUM(BX67:BX69)</f>
        <v>59851654</v>
      </c>
      <c r="BY66" s="152">
        <f t="shared" si="143"/>
        <v>80647203.620000005</v>
      </c>
      <c r="BZ66" s="152">
        <f t="shared" si="143"/>
        <v>102066619.7286</v>
      </c>
      <c r="CA66" s="152">
        <f t="shared" si="143"/>
        <v>124128618.32045799</v>
      </c>
      <c r="CB66" s="152">
        <f t="shared" si="143"/>
        <v>146852476.87007177</v>
      </c>
      <c r="CC66" s="152">
        <f t="shared" si="143"/>
        <v>151258051.17617393</v>
      </c>
      <c r="CD66" s="156">
        <f>SUM(CD67:CD69)</f>
        <v>155795792.71145913</v>
      </c>
      <c r="CE66" s="157">
        <f>SUM(CE67:CE69)</f>
        <v>45150000</v>
      </c>
      <c r="CF66" s="152">
        <f>SUM(CF67:CF69)</f>
        <v>105517000</v>
      </c>
      <c r="CG66" s="152">
        <f t="shared" ref="CG66:CL66" si="144">SUM(CG67:CG69)</f>
        <v>42707510</v>
      </c>
      <c r="CH66" s="152">
        <f t="shared" si="144"/>
        <v>62988735.299999997</v>
      </c>
      <c r="CI66" s="152">
        <f t="shared" si="144"/>
        <v>83878397.358999997</v>
      </c>
      <c r="CJ66" s="152">
        <f t="shared" si="144"/>
        <v>105394749.27977</v>
      </c>
      <c r="CK66" s="152">
        <f t="shared" si="144"/>
        <v>127556591.75816311</v>
      </c>
      <c r="CL66" s="152">
        <f t="shared" si="144"/>
        <v>131383289.51090802</v>
      </c>
      <c r="CM66" s="152">
        <f>SUM(CM67:CM69)</f>
        <v>135324788.19623524</v>
      </c>
      <c r="CN66" s="156">
        <f t="shared" si="122"/>
        <v>839901061.40407634</v>
      </c>
      <c r="CO66" s="158"/>
      <c r="CP66" s="160">
        <f>SUM(CP67:CP69)</f>
        <v>443000</v>
      </c>
      <c r="CQ66" s="145"/>
      <c r="CR66" s="145"/>
      <c r="CS66" s="145"/>
      <c r="CT66" s="145"/>
      <c r="CU66" s="145"/>
      <c r="CV66" s="152">
        <f>SUM(CV67:CV69)</f>
        <v>596251061.40407622</v>
      </c>
      <c r="CW66" s="151"/>
      <c r="CX66" s="162"/>
    </row>
    <row r="67" spans="1:102" ht="26.1" customHeight="1" x14ac:dyDescent="0.25">
      <c r="A67" s="204" t="s">
        <v>62</v>
      </c>
      <c r="B67" s="362"/>
      <c r="C67" s="450" t="s">
        <v>62</v>
      </c>
      <c r="D67" s="451" t="s">
        <v>723</v>
      </c>
      <c r="E67" s="48" t="s">
        <v>4</v>
      </c>
      <c r="F67" s="48" t="s">
        <v>406</v>
      </c>
      <c r="G67" s="48" t="s">
        <v>63</v>
      </c>
      <c r="H67" s="94" t="s">
        <v>119</v>
      </c>
      <c r="I67" s="547"/>
      <c r="J67" s="548" t="s">
        <v>214</v>
      </c>
      <c r="K67" s="206"/>
      <c r="L67" s="207"/>
      <c r="M67" s="208"/>
      <c r="O67" s="204" t="s">
        <v>62</v>
      </c>
      <c r="P67" s="47" t="s">
        <v>4</v>
      </c>
      <c r="Q67" s="48" t="s">
        <v>406</v>
      </c>
      <c r="R67" s="48" t="s">
        <v>314</v>
      </c>
      <c r="S67" s="48" t="s">
        <v>314</v>
      </c>
      <c r="T67" s="48" t="s">
        <v>314</v>
      </c>
      <c r="U67" s="48" t="s">
        <v>314</v>
      </c>
      <c r="V67" s="48"/>
      <c r="W67" s="48"/>
      <c r="X67" s="48" t="s">
        <v>307</v>
      </c>
      <c r="Y67" s="48"/>
      <c r="Z67" s="48" t="s">
        <v>314</v>
      </c>
      <c r="AA67" s="48"/>
      <c r="AB67" s="48"/>
      <c r="AC67" s="48" t="s">
        <v>314</v>
      </c>
      <c r="AD67" s="48"/>
      <c r="AE67" s="48" t="s">
        <v>314</v>
      </c>
      <c r="AF67" s="94"/>
      <c r="AG67" s="47" t="s">
        <v>315</v>
      </c>
      <c r="AH67" s="210" t="s">
        <v>319</v>
      </c>
      <c r="AI67" s="267" t="s">
        <v>327</v>
      </c>
      <c r="AJ67" s="170">
        <v>500</v>
      </c>
      <c r="AK67" s="170">
        <v>500</v>
      </c>
      <c r="AL67" s="170">
        <v>500</v>
      </c>
      <c r="AM67" s="170">
        <v>500</v>
      </c>
      <c r="AN67" s="170">
        <v>500</v>
      </c>
      <c r="AO67" s="170">
        <v>500</v>
      </c>
      <c r="AP67" s="170">
        <v>500</v>
      </c>
      <c r="AQ67" s="170">
        <v>500</v>
      </c>
      <c r="AR67" s="170">
        <v>500</v>
      </c>
      <c r="AS67" s="170">
        <v>500</v>
      </c>
      <c r="AT67" s="170">
        <v>500</v>
      </c>
      <c r="AU67" s="170">
        <v>500</v>
      </c>
      <c r="AV67" s="170">
        <v>500</v>
      </c>
      <c r="AW67" s="170">
        <v>500</v>
      </c>
      <c r="AX67" s="170">
        <v>500</v>
      </c>
      <c r="AY67" s="170">
        <v>500</v>
      </c>
      <c r="AZ67" s="170">
        <v>500</v>
      </c>
      <c r="BA67" s="170">
        <v>500</v>
      </c>
      <c r="BB67" s="170"/>
      <c r="BC67" s="260"/>
      <c r="BD67" s="206" t="s">
        <v>4</v>
      </c>
      <c r="BE67" s="68" t="s">
        <v>321</v>
      </c>
      <c r="BF67" s="48" t="s">
        <v>323</v>
      </c>
      <c r="BG67" s="269">
        <v>12000000</v>
      </c>
      <c r="BH67" s="212">
        <f>+BG67*1.03</f>
        <v>12360000</v>
      </c>
      <c r="BI67" s="170">
        <f>+BH67*1.03</f>
        <v>12730800</v>
      </c>
      <c r="BJ67" s="170">
        <f t="shared" ref="BJ67:BP68" si="145">+BI67*1.03</f>
        <v>13112724</v>
      </c>
      <c r="BK67" s="170">
        <f t="shared" si="145"/>
        <v>13506105.720000001</v>
      </c>
      <c r="BL67" s="170">
        <f t="shared" si="145"/>
        <v>13911288.891600002</v>
      </c>
      <c r="BM67" s="170">
        <f t="shared" si="145"/>
        <v>14328627.558348002</v>
      </c>
      <c r="BN67" s="170">
        <f t="shared" si="145"/>
        <v>14758486.385098442</v>
      </c>
      <c r="BO67" s="170">
        <f t="shared" si="145"/>
        <v>15201240.976651397</v>
      </c>
      <c r="BP67" s="170">
        <f t="shared" si="145"/>
        <v>15657278.205950938</v>
      </c>
      <c r="BQ67" s="213">
        <f t="shared" si="119"/>
        <v>125566551.73764879</v>
      </c>
      <c r="BR67" s="270">
        <v>1</v>
      </c>
      <c r="BS67" s="48"/>
      <c r="BT67" s="48"/>
      <c r="BU67" s="243"/>
      <c r="BV67" s="212">
        <f>+BH67</f>
        <v>12360000</v>
      </c>
      <c r="BW67" s="170">
        <f t="shared" ref="BW67:CB67" si="146">+BV67*1.03+19000000</f>
        <v>31730800</v>
      </c>
      <c r="BX67" s="170">
        <f t="shared" si="146"/>
        <v>51682724</v>
      </c>
      <c r="BY67" s="170">
        <f t="shared" si="146"/>
        <v>72233205.719999999</v>
      </c>
      <c r="BZ67" s="170">
        <f t="shared" si="146"/>
        <v>93400201.891599998</v>
      </c>
      <c r="CA67" s="170">
        <f t="shared" si="146"/>
        <v>115202207.948348</v>
      </c>
      <c r="CB67" s="170">
        <f t="shared" si="146"/>
        <v>137658274.18679845</v>
      </c>
      <c r="CC67" s="170">
        <f>+CB67*1.03</f>
        <v>141788022.41240242</v>
      </c>
      <c r="CD67" s="213">
        <f>+CC67*1.03</f>
        <v>146041663.08477449</v>
      </c>
      <c r="CE67" s="212">
        <f>+BV67-BH67</f>
        <v>0</v>
      </c>
      <c r="CF67" s="170">
        <f t="shared" ref="CF67:CM69" si="147">+BW67-BI67</f>
        <v>19000000</v>
      </c>
      <c r="CG67" s="170">
        <f t="shared" si="147"/>
        <v>38570000</v>
      </c>
      <c r="CH67" s="170">
        <f t="shared" si="147"/>
        <v>58727100</v>
      </c>
      <c r="CI67" s="170">
        <f t="shared" si="147"/>
        <v>79488913</v>
      </c>
      <c r="CJ67" s="170">
        <f t="shared" si="147"/>
        <v>100873580.39</v>
      </c>
      <c r="CK67" s="170">
        <f t="shared" si="147"/>
        <v>122899787.80170001</v>
      </c>
      <c r="CL67" s="170">
        <f t="shared" si="147"/>
        <v>126586781.43575102</v>
      </c>
      <c r="CM67" s="170">
        <f t="shared" si="147"/>
        <v>130384384.87882355</v>
      </c>
      <c r="CN67" s="213">
        <f t="shared" ref="CN67:CN73" si="148">SUM(CE67:CM67)</f>
        <v>676530547.50627446</v>
      </c>
      <c r="CO67" s="219"/>
      <c r="CP67" s="220">
        <v>218000</v>
      </c>
      <c r="CQ67" s="220" t="s">
        <v>328</v>
      </c>
      <c r="CR67" s="210"/>
      <c r="CS67" s="210"/>
      <c r="CT67" s="210"/>
      <c r="CU67" s="210"/>
      <c r="CV67" s="221">
        <f>+CN67-CP67*550</f>
        <v>556630547.50627446</v>
      </c>
      <c r="CW67" s="222"/>
      <c r="CX67" s="246"/>
    </row>
    <row r="68" spans="1:102" ht="26.1" customHeight="1" x14ac:dyDescent="0.25">
      <c r="A68" s="237" t="s">
        <v>64</v>
      </c>
      <c r="B68" s="362"/>
      <c r="C68" s="454" t="s">
        <v>64</v>
      </c>
      <c r="D68" s="210" t="s">
        <v>724</v>
      </c>
      <c r="E68" s="48" t="s">
        <v>4</v>
      </c>
      <c r="F68" s="48" t="s">
        <v>406</v>
      </c>
      <c r="G68" s="48" t="s">
        <v>63</v>
      </c>
      <c r="H68" s="94" t="s">
        <v>120</v>
      </c>
      <c r="I68" s="547"/>
      <c r="J68" s="548" t="s">
        <v>221</v>
      </c>
      <c r="K68" s="206"/>
      <c r="L68" s="207"/>
      <c r="M68" s="208"/>
      <c r="O68" s="237" t="s">
        <v>64</v>
      </c>
      <c r="P68" s="47" t="s">
        <v>4</v>
      </c>
      <c r="Q68" s="48" t="s">
        <v>406</v>
      </c>
      <c r="R68" s="48" t="s">
        <v>314</v>
      </c>
      <c r="S68" s="48" t="s">
        <v>314</v>
      </c>
      <c r="T68" s="48" t="s">
        <v>314</v>
      </c>
      <c r="U68" s="48"/>
      <c r="V68" s="48"/>
      <c r="W68" s="48"/>
      <c r="X68" s="48" t="s">
        <v>307</v>
      </c>
      <c r="Y68" s="48"/>
      <c r="Z68" s="48"/>
      <c r="AA68" s="48"/>
      <c r="AB68" s="48"/>
      <c r="AC68" s="48" t="s">
        <v>314</v>
      </c>
      <c r="AD68" s="48"/>
      <c r="AE68" s="48" t="s">
        <v>314</v>
      </c>
      <c r="AF68" s="209"/>
      <c r="AG68" s="47" t="s">
        <v>315</v>
      </c>
      <c r="AH68" s="210" t="s">
        <v>309</v>
      </c>
      <c r="AI68" s="68" t="s">
        <v>329</v>
      </c>
      <c r="AJ68" s="170">
        <v>1</v>
      </c>
      <c r="AK68" s="170">
        <v>1</v>
      </c>
      <c r="AL68" s="170">
        <v>1</v>
      </c>
      <c r="AM68" s="170">
        <v>1</v>
      </c>
      <c r="AN68" s="170">
        <v>1</v>
      </c>
      <c r="AO68" s="170">
        <v>1</v>
      </c>
      <c r="AP68" s="170">
        <v>1</v>
      </c>
      <c r="AQ68" s="170">
        <v>1</v>
      </c>
      <c r="AR68" s="170">
        <v>1</v>
      </c>
      <c r="AS68" s="170">
        <v>2</v>
      </c>
      <c r="AT68" s="170">
        <v>3</v>
      </c>
      <c r="AU68" s="170">
        <v>2</v>
      </c>
      <c r="AV68" s="170">
        <v>3</v>
      </c>
      <c r="AW68" s="170">
        <v>2</v>
      </c>
      <c r="AX68" s="170">
        <v>3</v>
      </c>
      <c r="AY68" s="170">
        <v>2</v>
      </c>
      <c r="AZ68" s="170">
        <v>3</v>
      </c>
      <c r="BA68" s="170">
        <v>2</v>
      </c>
      <c r="BB68" s="170"/>
      <c r="BC68" s="260"/>
      <c r="BD68" s="206" t="s">
        <v>330</v>
      </c>
      <c r="BE68" s="68" t="s">
        <v>349</v>
      </c>
      <c r="BF68" s="48" t="s">
        <v>313</v>
      </c>
      <c r="BG68" s="269">
        <v>0</v>
      </c>
      <c r="BH68" s="212">
        <f>1000000*13*0.2+1200000</f>
        <v>3800000</v>
      </c>
      <c r="BI68" s="170">
        <f>+BH68*1.03</f>
        <v>3914000</v>
      </c>
      <c r="BJ68" s="170">
        <f t="shared" si="145"/>
        <v>4031420</v>
      </c>
      <c r="BK68" s="170">
        <f t="shared" si="145"/>
        <v>4152362.6</v>
      </c>
      <c r="BL68" s="170">
        <f t="shared" si="145"/>
        <v>4276933.4780000001</v>
      </c>
      <c r="BM68" s="170">
        <f t="shared" si="145"/>
        <v>4405241.4823400006</v>
      </c>
      <c r="BN68" s="170">
        <f t="shared" si="145"/>
        <v>4537398.7268102011</v>
      </c>
      <c r="BO68" s="170">
        <f t="shared" si="145"/>
        <v>4673520.6886145072</v>
      </c>
      <c r="BP68" s="170">
        <f t="shared" si="145"/>
        <v>4813726.3092729421</v>
      </c>
      <c r="BQ68" s="213">
        <f t="shared" si="119"/>
        <v>38604603.285037659</v>
      </c>
      <c r="BR68" s="270">
        <v>1</v>
      </c>
      <c r="BS68" s="48"/>
      <c r="BT68" s="48"/>
      <c r="BU68" s="243"/>
      <c r="BV68" s="212">
        <f>1000000*13*0.5+1200000</f>
        <v>7700000</v>
      </c>
      <c r="BW68" s="170">
        <f>+BV68*1.03</f>
        <v>7931000</v>
      </c>
      <c r="BX68" s="170">
        <f t="shared" ref="BX68:CD68" si="149">+BW68*1.03</f>
        <v>8168930</v>
      </c>
      <c r="BY68" s="170">
        <f t="shared" si="149"/>
        <v>8413997.9000000004</v>
      </c>
      <c r="BZ68" s="170">
        <f t="shared" si="149"/>
        <v>8666417.8370000012</v>
      </c>
      <c r="CA68" s="170">
        <f t="shared" si="149"/>
        <v>8926410.3721100017</v>
      </c>
      <c r="CB68" s="170">
        <f t="shared" si="149"/>
        <v>9194202.6832733024</v>
      </c>
      <c r="CC68" s="170">
        <f t="shared" si="149"/>
        <v>9470028.7637715023</v>
      </c>
      <c r="CD68" s="213">
        <f t="shared" si="149"/>
        <v>9754129.6266846471</v>
      </c>
      <c r="CE68" s="212">
        <f>+BV68-BH68</f>
        <v>3900000</v>
      </c>
      <c r="CF68" s="170">
        <f t="shared" si="147"/>
        <v>4017000</v>
      </c>
      <c r="CG68" s="170">
        <f t="shared" si="147"/>
        <v>4137510</v>
      </c>
      <c r="CH68" s="170">
        <f t="shared" si="147"/>
        <v>4261635.3000000007</v>
      </c>
      <c r="CI68" s="170">
        <f t="shared" si="147"/>
        <v>4389484.3590000011</v>
      </c>
      <c r="CJ68" s="170">
        <f t="shared" si="147"/>
        <v>4521168.8897700012</v>
      </c>
      <c r="CK68" s="170">
        <f t="shared" si="147"/>
        <v>4656803.9564631013</v>
      </c>
      <c r="CL68" s="170">
        <f t="shared" si="147"/>
        <v>4796508.0751569951</v>
      </c>
      <c r="CM68" s="170">
        <f t="shared" si="147"/>
        <v>4940403.3174117049</v>
      </c>
      <c r="CN68" s="213">
        <f t="shared" si="148"/>
        <v>39620513.897801809</v>
      </c>
      <c r="CO68" s="219"/>
      <c r="CP68" s="220"/>
      <c r="CQ68" s="220"/>
      <c r="CR68" s="210"/>
      <c r="CS68" s="210"/>
      <c r="CT68" s="210"/>
      <c r="CU68" s="210"/>
      <c r="CV68" s="221">
        <f>+CN68-CP68*550</f>
        <v>39620513.897801809</v>
      </c>
      <c r="CW68" s="222"/>
      <c r="CX68" s="246"/>
    </row>
    <row r="69" spans="1:102" ht="26.1" customHeight="1" x14ac:dyDescent="0.25">
      <c r="A69" s="204" t="s">
        <v>65</v>
      </c>
      <c r="B69" s="362"/>
      <c r="C69" s="459" t="s">
        <v>65</v>
      </c>
      <c r="D69" s="451" t="s">
        <v>725</v>
      </c>
      <c r="E69" s="48" t="s">
        <v>4</v>
      </c>
      <c r="F69" s="48" t="s">
        <v>403</v>
      </c>
      <c r="G69" s="48" t="s">
        <v>393</v>
      </c>
      <c r="H69" s="94" t="s">
        <v>121</v>
      </c>
      <c r="I69" s="547" t="s">
        <v>246</v>
      </c>
      <c r="J69" s="548" t="s">
        <v>235</v>
      </c>
      <c r="K69" s="206"/>
      <c r="L69" s="207"/>
      <c r="M69" s="208"/>
      <c r="O69" s="312" t="s">
        <v>65</v>
      </c>
      <c r="P69" s="313" t="s">
        <v>4</v>
      </c>
      <c r="Q69" s="77" t="s">
        <v>403</v>
      </c>
      <c r="R69" s="77"/>
      <c r="S69" s="77" t="s">
        <v>314</v>
      </c>
      <c r="T69" s="77" t="s">
        <v>314</v>
      </c>
      <c r="U69" s="77" t="s">
        <v>314</v>
      </c>
      <c r="V69" s="77" t="s">
        <v>314</v>
      </c>
      <c r="W69" s="77"/>
      <c r="X69" s="77" t="s">
        <v>307</v>
      </c>
      <c r="Y69" s="77"/>
      <c r="Z69" s="77"/>
      <c r="AA69" s="77"/>
      <c r="AB69" s="77"/>
      <c r="AC69" s="77" t="s">
        <v>314</v>
      </c>
      <c r="AD69" s="77"/>
      <c r="AE69" s="77"/>
      <c r="AF69" s="314"/>
      <c r="AG69" s="313" t="s">
        <v>315</v>
      </c>
      <c r="AH69" s="315" t="s">
        <v>319</v>
      </c>
      <c r="AI69" s="316" t="s">
        <v>483</v>
      </c>
      <c r="AJ69" s="317">
        <v>0</v>
      </c>
      <c r="AK69" s="317">
        <v>0</v>
      </c>
      <c r="AL69" s="317">
        <v>0</v>
      </c>
      <c r="AM69" s="317">
        <v>0</v>
      </c>
      <c r="AN69" s="317">
        <v>0</v>
      </c>
      <c r="AO69" s="317">
        <v>0</v>
      </c>
      <c r="AP69" s="317">
        <v>0</v>
      </c>
      <c r="AQ69" s="317">
        <v>0</v>
      </c>
      <c r="AR69" s="317">
        <v>0</v>
      </c>
      <c r="AS69" s="317">
        <v>1</v>
      </c>
      <c r="AT69" s="317">
        <v>0</v>
      </c>
      <c r="AU69" s="317">
        <v>0</v>
      </c>
      <c r="AV69" s="317">
        <v>0</v>
      </c>
      <c r="AW69" s="317">
        <v>0</v>
      </c>
      <c r="AX69" s="317">
        <v>0</v>
      </c>
      <c r="AY69" s="317">
        <v>0</v>
      </c>
      <c r="AZ69" s="317">
        <v>0</v>
      </c>
      <c r="BA69" s="317">
        <v>0</v>
      </c>
      <c r="BB69" s="317"/>
      <c r="BC69" s="318"/>
      <c r="BD69" s="319" t="s">
        <v>330</v>
      </c>
      <c r="BE69" s="68" t="s">
        <v>349</v>
      </c>
      <c r="BF69" s="77" t="s">
        <v>313</v>
      </c>
      <c r="BG69" s="320"/>
      <c r="BH69" s="321">
        <v>0</v>
      </c>
      <c r="BI69" s="317">
        <v>0</v>
      </c>
      <c r="BJ69" s="317">
        <v>0</v>
      </c>
      <c r="BK69" s="317">
        <v>0</v>
      </c>
      <c r="BL69" s="317">
        <v>0</v>
      </c>
      <c r="BM69" s="317">
        <v>0</v>
      </c>
      <c r="BN69" s="317">
        <v>0</v>
      </c>
      <c r="BO69" s="317">
        <v>0</v>
      </c>
      <c r="BP69" s="317">
        <v>0</v>
      </c>
      <c r="BQ69" s="213">
        <f t="shared" si="119"/>
        <v>0</v>
      </c>
      <c r="BR69" s="322"/>
      <c r="BS69" s="77"/>
      <c r="BT69" s="77"/>
      <c r="BU69" s="323"/>
      <c r="BV69" s="321">
        <f>75000*550</f>
        <v>41250000</v>
      </c>
      <c r="BW69" s="317">
        <f>150000*550</f>
        <v>82500000</v>
      </c>
      <c r="BX69" s="317">
        <v>0</v>
      </c>
      <c r="BY69" s="317">
        <v>0</v>
      </c>
      <c r="BZ69" s="317">
        <v>0</v>
      </c>
      <c r="CA69" s="317">
        <v>0</v>
      </c>
      <c r="CB69" s="317">
        <v>0</v>
      </c>
      <c r="CC69" s="317">
        <v>0</v>
      </c>
      <c r="CD69" s="324">
        <v>0</v>
      </c>
      <c r="CE69" s="217">
        <f>+BV69-BH69</f>
        <v>41250000</v>
      </c>
      <c r="CF69" s="170">
        <f>+BW69-BI69</f>
        <v>82500000</v>
      </c>
      <c r="CG69" s="170">
        <f t="shared" si="147"/>
        <v>0</v>
      </c>
      <c r="CH69" s="170">
        <f t="shared" si="147"/>
        <v>0</v>
      </c>
      <c r="CI69" s="170">
        <f t="shared" si="147"/>
        <v>0</v>
      </c>
      <c r="CJ69" s="170">
        <f t="shared" si="147"/>
        <v>0</v>
      </c>
      <c r="CK69" s="170">
        <f t="shared" si="147"/>
        <v>0</v>
      </c>
      <c r="CL69" s="170">
        <f t="shared" si="147"/>
        <v>0</v>
      </c>
      <c r="CM69" s="170">
        <f t="shared" si="147"/>
        <v>0</v>
      </c>
      <c r="CN69" s="218">
        <f t="shared" si="148"/>
        <v>123750000</v>
      </c>
      <c r="CO69" s="325"/>
      <c r="CP69" s="326">
        <f>150000+75000</f>
        <v>225000</v>
      </c>
      <c r="CQ69" s="326" t="s">
        <v>482</v>
      </c>
      <c r="CR69" s="315"/>
      <c r="CS69" s="315"/>
      <c r="CT69" s="315"/>
      <c r="CU69" s="315"/>
      <c r="CV69" s="221">
        <f>+CN69-CP69*550</f>
        <v>0</v>
      </c>
      <c r="CW69" s="327"/>
      <c r="CX69" s="328"/>
    </row>
    <row r="70" spans="1:102" ht="26.1" hidden="1" customHeight="1" x14ac:dyDescent="0.25">
      <c r="A70" s="143" t="s">
        <v>66</v>
      </c>
      <c r="B70" s="360"/>
      <c r="C70" s="447" t="s">
        <v>66</v>
      </c>
      <c r="D70" s="154" t="s">
        <v>726</v>
      </c>
      <c r="E70" s="448" t="s">
        <v>490</v>
      </c>
      <c r="F70" s="145"/>
      <c r="G70" s="60"/>
      <c r="H70" s="453"/>
      <c r="I70" s="549"/>
      <c r="J70" s="550"/>
      <c r="K70" s="147" t="s">
        <v>259</v>
      </c>
      <c r="L70" s="148"/>
      <c r="M70" s="149"/>
      <c r="O70" s="143" t="s">
        <v>66</v>
      </c>
      <c r="P70" s="150"/>
      <c r="Q70" s="145"/>
      <c r="R70" s="145"/>
      <c r="S70" s="145"/>
      <c r="T70" s="145"/>
      <c r="U70" s="145"/>
      <c r="V70" s="145"/>
      <c r="W70" s="145"/>
      <c r="X70" s="145"/>
      <c r="Y70" s="145"/>
      <c r="Z70" s="145"/>
      <c r="AA70" s="145"/>
      <c r="AB70" s="145"/>
      <c r="AC70" s="145"/>
      <c r="AD70" s="145"/>
      <c r="AE70" s="145"/>
      <c r="AF70" s="151"/>
      <c r="AG70" s="150"/>
      <c r="AH70" s="145"/>
      <c r="AI70" s="145"/>
      <c r="AJ70" s="152"/>
      <c r="AK70" s="152"/>
      <c r="AL70" s="152"/>
      <c r="AM70" s="152"/>
      <c r="AN70" s="152"/>
      <c r="AO70" s="152"/>
      <c r="AP70" s="152"/>
      <c r="AQ70" s="152"/>
      <c r="AR70" s="152"/>
      <c r="AS70" s="152"/>
      <c r="AT70" s="152"/>
      <c r="AU70" s="152"/>
      <c r="AV70" s="152"/>
      <c r="AW70" s="152"/>
      <c r="AX70" s="152"/>
      <c r="AY70" s="152"/>
      <c r="AZ70" s="152"/>
      <c r="BA70" s="152"/>
      <c r="BB70" s="152"/>
      <c r="BC70" s="254"/>
      <c r="BD70" s="150"/>
      <c r="BE70" s="154" t="s">
        <v>357</v>
      </c>
      <c r="BF70" s="155"/>
      <c r="BG70" s="156">
        <f>SUM(BG71:BG73)</f>
        <v>0</v>
      </c>
      <c r="BH70" s="157">
        <f>SUM(BH71:BH73)</f>
        <v>6100000</v>
      </c>
      <c r="BI70" s="152">
        <f>SUM(BI71:BI73)</f>
        <v>6100000</v>
      </c>
      <c r="BJ70" s="152">
        <f t="shared" ref="BJ70:BP70" si="150">SUM(BJ71:BJ73)</f>
        <v>6100000</v>
      </c>
      <c r="BK70" s="152">
        <f t="shared" si="150"/>
        <v>6100000</v>
      </c>
      <c r="BL70" s="152">
        <f t="shared" si="150"/>
        <v>6100000</v>
      </c>
      <c r="BM70" s="152">
        <f t="shared" si="150"/>
        <v>6100000</v>
      </c>
      <c r="BN70" s="152">
        <f t="shared" si="150"/>
        <v>6100000</v>
      </c>
      <c r="BO70" s="152">
        <f t="shared" si="150"/>
        <v>6100000</v>
      </c>
      <c r="BP70" s="152">
        <f t="shared" si="150"/>
        <v>6100000</v>
      </c>
      <c r="BQ70" s="156">
        <f t="shared" ref="BQ70:BQ82" si="151">SUM(BH70:BP70)</f>
        <v>54900000</v>
      </c>
      <c r="BR70" s="158"/>
      <c r="BS70" s="145"/>
      <c r="BT70" s="145"/>
      <c r="BU70" s="159"/>
      <c r="BV70" s="157">
        <f>SUM(BV71:BV73)</f>
        <v>55375000</v>
      </c>
      <c r="BW70" s="152">
        <f>SUM(BW71:BW73)</f>
        <v>45200000</v>
      </c>
      <c r="BX70" s="152">
        <f t="shared" ref="BX70:CC70" si="152">SUM(BX71:BX73)</f>
        <v>12200000</v>
      </c>
      <c r="BY70" s="152">
        <f t="shared" si="152"/>
        <v>12200000</v>
      </c>
      <c r="BZ70" s="152">
        <f t="shared" si="152"/>
        <v>12200000</v>
      </c>
      <c r="CA70" s="152">
        <f t="shared" si="152"/>
        <v>12200000</v>
      </c>
      <c r="CB70" s="152">
        <f t="shared" si="152"/>
        <v>12200000</v>
      </c>
      <c r="CC70" s="152">
        <f t="shared" si="152"/>
        <v>12200000</v>
      </c>
      <c r="CD70" s="156">
        <f>SUM(CD71:CD73)</f>
        <v>12200000</v>
      </c>
      <c r="CE70" s="157">
        <f>SUM(CE71:CE73)</f>
        <v>49275000</v>
      </c>
      <c r="CF70" s="152">
        <f>SUM(CF71:CF73)</f>
        <v>39100000</v>
      </c>
      <c r="CG70" s="152">
        <f t="shared" ref="CG70:CL70" si="153">SUM(CG71:CG73)</f>
        <v>6100000</v>
      </c>
      <c r="CH70" s="152">
        <f t="shared" si="153"/>
        <v>6100000</v>
      </c>
      <c r="CI70" s="152">
        <f t="shared" si="153"/>
        <v>6100000</v>
      </c>
      <c r="CJ70" s="152">
        <f t="shared" si="153"/>
        <v>6100000</v>
      </c>
      <c r="CK70" s="152">
        <f t="shared" si="153"/>
        <v>6100000</v>
      </c>
      <c r="CL70" s="152">
        <f t="shared" si="153"/>
        <v>6100000</v>
      </c>
      <c r="CM70" s="152">
        <f>SUM(CM71:CM73)</f>
        <v>6100000</v>
      </c>
      <c r="CN70" s="156">
        <f t="shared" si="148"/>
        <v>131075000</v>
      </c>
      <c r="CO70" s="158"/>
      <c r="CP70" s="160">
        <f>SUM(CP71:CP73)</f>
        <v>228500</v>
      </c>
      <c r="CQ70" s="145"/>
      <c r="CR70" s="145"/>
      <c r="CS70" s="145"/>
      <c r="CT70" s="145"/>
      <c r="CU70" s="145"/>
      <c r="CV70" s="152">
        <f>SUM(CV71:CV73)</f>
        <v>5400000</v>
      </c>
      <c r="CW70" s="151"/>
      <c r="CX70" s="162"/>
    </row>
    <row r="71" spans="1:102" ht="26.1" customHeight="1" x14ac:dyDescent="0.25">
      <c r="A71" s="204" t="s">
        <v>67</v>
      </c>
      <c r="B71" s="362"/>
      <c r="C71" s="450" t="s">
        <v>67</v>
      </c>
      <c r="D71" s="451" t="s">
        <v>727</v>
      </c>
      <c r="E71" s="48" t="s">
        <v>4</v>
      </c>
      <c r="F71" s="48" t="s">
        <v>406</v>
      </c>
      <c r="G71" s="48" t="s">
        <v>63</v>
      </c>
      <c r="H71" s="94" t="s">
        <v>122</v>
      </c>
      <c r="I71" s="547"/>
      <c r="J71" s="548" t="s">
        <v>236</v>
      </c>
      <c r="K71" s="206"/>
      <c r="L71" s="207"/>
      <c r="M71" s="208"/>
      <c r="O71" s="204" t="s">
        <v>67</v>
      </c>
      <c r="P71" s="47" t="s">
        <v>4</v>
      </c>
      <c r="Q71" s="48" t="s">
        <v>406</v>
      </c>
      <c r="R71" s="48" t="s">
        <v>314</v>
      </c>
      <c r="S71" s="48" t="s">
        <v>314</v>
      </c>
      <c r="T71" s="48" t="s">
        <v>314</v>
      </c>
      <c r="U71" s="48" t="s">
        <v>314</v>
      </c>
      <c r="V71" s="48"/>
      <c r="W71" s="48"/>
      <c r="X71" s="48" t="s">
        <v>307</v>
      </c>
      <c r="Y71" s="48"/>
      <c r="Z71" s="48" t="s">
        <v>314</v>
      </c>
      <c r="AA71" s="48"/>
      <c r="AB71" s="48"/>
      <c r="AC71" s="48"/>
      <c r="AD71" s="48"/>
      <c r="AE71" s="48"/>
      <c r="AF71" s="209"/>
      <c r="AG71" s="47" t="s">
        <v>308</v>
      </c>
      <c r="AH71" s="210" t="s">
        <v>309</v>
      </c>
      <c r="AI71" s="267" t="s">
        <v>331</v>
      </c>
      <c r="AJ71" s="170">
        <v>52</v>
      </c>
      <c r="AK71" s="170">
        <v>52</v>
      </c>
      <c r="AL71" s="170">
        <v>52</v>
      </c>
      <c r="AM71" s="170">
        <v>52</v>
      </c>
      <c r="AN71" s="170">
        <v>52</v>
      </c>
      <c r="AO71" s="170">
        <v>52</v>
      </c>
      <c r="AP71" s="170">
        <v>52</v>
      </c>
      <c r="AQ71" s="170">
        <v>52</v>
      </c>
      <c r="AR71" s="170">
        <v>52</v>
      </c>
      <c r="AS71" s="170">
        <f t="shared" ref="AS71:BA71" si="154">+AJ71*2</f>
        <v>104</v>
      </c>
      <c r="AT71" s="170">
        <f t="shared" si="154"/>
        <v>104</v>
      </c>
      <c r="AU71" s="170">
        <f t="shared" si="154"/>
        <v>104</v>
      </c>
      <c r="AV71" s="170">
        <f t="shared" si="154"/>
        <v>104</v>
      </c>
      <c r="AW71" s="170">
        <f t="shared" si="154"/>
        <v>104</v>
      </c>
      <c r="AX71" s="170">
        <f t="shared" si="154"/>
        <v>104</v>
      </c>
      <c r="AY71" s="170">
        <f t="shared" si="154"/>
        <v>104</v>
      </c>
      <c r="AZ71" s="170">
        <f t="shared" si="154"/>
        <v>104</v>
      </c>
      <c r="BA71" s="170">
        <f t="shared" si="154"/>
        <v>104</v>
      </c>
      <c r="BB71" s="170"/>
      <c r="BC71" s="260"/>
      <c r="BD71" s="206" t="s">
        <v>4</v>
      </c>
      <c r="BE71" s="68" t="s">
        <v>321</v>
      </c>
      <c r="BF71" s="48" t="s">
        <v>323</v>
      </c>
      <c r="BG71" s="241"/>
      <c r="BH71" s="212">
        <f t="shared" ref="BH71:BP71" si="155">+AJ71*100000</f>
        <v>5200000</v>
      </c>
      <c r="BI71" s="170">
        <f t="shared" si="155"/>
        <v>5200000</v>
      </c>
      <c r="BJ71" s="170">
        <f t="shared" si="155"/>
        <v>5200000</v>
      </c>
      <c r="BK71" s="170">
        <f t="shared" si="155"/>
        <v>5200000</v>
      </c>
      <c r="BL71" s="170">
        <f t="shared" si="155"/>
        <v>5200000</v>
      </c>
      <c r="BM71" s="170">
        <f t="shared" si="155"/>
        <v>5200000</v>
      </c>
      <c r="BN71" s="170">
        <f t="shared" si="155"/>
        <v>5200000</v>
      </c>
      <c r="BO71" s="170">
        <f t="shared" si="155"/>
        <v>5200000</v>
      </c>
      <c r="BP71" s="170">
        <f t="shared" si="155"/>
        <v>5200000</v>
      </c>
      <c r="BQ71" s="213">
        <f t="shared" si="151"/>
        <v>46800000</v>
      </c>
      <c r="BR71" s="242">
        <v>1</v>
      </c>
      <c r="BS71" s="48"/>
      <c r="BT71" s="48"/>
      <c r="BU71" s="243"/>
      <c r="BV71" s="212">
        <f>+AS71*100000</f>
        <v>10400000</v>
      </c>
      <c r="BW71" s="170">
        <f t="shared" ref="BW71:CD71" si="156">+AT71*100000</f>
        <v>10400000</v>
      </c>
      <c r="BX71" s="170">
        <f t="shared" si="156"/>
        <v>10400000</v>
      </c>
      <c r="BY71" s="170">
        <f t="shared" si="156"/>
        <v>10400000</v>
      </c>
      <c r="BZ71" s="170">
        <f t="shared" si="156"/>
        <v>10400000</v>
      </c>
      <c r="CA71" s="170">
        <f t="shared" si="156"/>
        <v>10400000</v>
      </c>
      <c r="CB71" s="170">
        <f t="shared" si="156"/>
        <v>10400000</v>
      </c>
      <c r="CC71" s="170">
        <f t="shared" si="156"/>
        <v>10400000</v>
      </c>
      <c r="CD71" s="213">
        <f t="shared" si="156"/>
        <v>10400000</v>
      </c>
      <c r="CE71" s="212">
        <f>+BV71-BH71</f>
        <v>5200000</v>
      </c>
      <c r="CF71" s="170">
        <f t="shared" ref="CF71:CM72" si="157">+BW71-BI71</f>
        <v>5200000</v>
      </c>
      <c r="CG71" s="170">
        <f t="shared" si="157"/>
        <v>5200000</v>
      </c>
      <c r="CH71" s="170">
        <f t="shared" si="157"/>
        <v>5200000</v>
      </c>
      <c r="CI71" s="170">
        <f t="shared" si="157"/>
        <v>5200000</v>
      </c>
      <c r="CJ71" s="170">
        <f t="shared" si="157"/>
        <v>5200000</v>
      </c>
      <c r="CK71" s="170">
        <f t="shared" si="157"/>
        <v>5200000</v>
      </c>
      <c r="CL71" s="170">
        <f t="shared" si="157"/>
        <v>5200000</v>
      </c>
      <c r="CM71" s="170">
        <f t="shared" si="157"/>
        <v>5200000</v>
      </c>
      <c r="CN71" s="213">
        <f t="shared" si="148"/>
        <v>46800000</v>
      </c>
      <c r="CO71" s="219"/>
      <c r="CP71" s="220">
        <v>76000</v>
      </c>
      <c r="CQ71" s="220" t="s">
        <v>332</v>
      </c>
      <c r="CR71" s="210"/>
      <c r="CS71" s="210"/>
      <c r="CT71" s="210"/>
      <c r="CU71" s="210"/>
      <c r="CV71" s="221">
        <f>+CN71-CP71*550</f>
        <v>5000000</v>
      </c>
      <c r="CW71" s="222"/>
      <c r="CX71" s="246"/>
    </row>
    <row r="72" spans="1:102" ht="26.1" customHeight="1" x14ac:dyDescent="0.25">
      <c r="A72" s="312" t="s">
        <v>68</v>
      </c>
      <c r="B72" s="364"/>
      <c r="C72" s="459" t="s">
        <v>68</v>
      </c>
      <c r="D72" s="451" t="s">
        <v>728</v>
      </c>
      <c r="E72" s="424" t="s">
        <v>2</v>
      </c>
      <c r="F72" s="424" t="s">
        <v>403</v>
      </c>
      <c r="G72" s="424" t="s">
        <v>401</v>
      </c>
      <c r="H72" s="94" t="s">
        <v>123</v>
      </c>
      <c r="I72" s="547"/>
      <c r="J72" s="548" t="s">
        <v>214</v>
      </c>
      <c r="K72" s="206"/>
      <c r="L72" s="207"/>
      <c r="M72" s="208"/>
      <c r="O72" s="312" t="s">
        <v>68</v>
      </c>
      <c r="P72" s="423" t="s">
        <v>2</v>
      </c>
      <c r="Q72" s="77" t="s">
        <v>401</v>
      </c>
      <c r="R72" s="255"/>
      <c r="S72" s="255"/>
      <c r="T72" s="255"/>
      <c r="U72" s="255"/>
      <c r="V72" s="255"/>
      <c r="W72" s="255"/>
      <c r="X72" s="255"/>
      <c r="Y72" s="255"/>
      <c r="Z72" s="255"/>
      <c r="AA72" s="255"/>
      <c r="AB72" s="255"/>
      <c r="AC72" s="255"/>
      <c r="AD72" s="255"/>
      <c r="AE72" s="255"/>
      <c r="AF72" s="333"/>
      <c r="AG72" s="332"/>
      <c r="AH72" s="255"/>
      <c r="AI72" s="255"/>
      <c r="AJ72" s="272"/>
      <c r="AK72" s="272"/>
      <c r="AL72" s="272"/>
      <c r="AM72" s="272"/>
      <c r="AN72" s="272"/>
      <c r="AO72" s="272"/>
      <c r="AP72" s="272"/>
      <c r="AQ72" s="272"/>
      <c r="AR72" s="272"/>
      <c r="AS72" s="272"/>
      <c r="AT72" s="272"/>
      <c r="AU72" s="272"/>
      <c r="AV72" s="272"/>
      <c r="AW72" s="272"/>
      <c r="AX72" s="272"/>
      <c r="AY72" s="272"/>
      <c r="AZ72" s="272"/>
      <c r="BA72" s="272"/>
      <c r="BB72" s="272"/>
      <c r="BC72" s="334"/>
      <c r="BD72" s="332"/>
      <c r="BE72" s="68" t="s">
        <v>349</v>
      </c>
      <c r="BF72" s="335" t="s">
        <v>323</v>
      </c>
      <c r="BG72" s="336"/>
      <c r="BH72" s="337">
        <v>0</v>
      </c>
      <c r="BI72" s="272">
        <v>0</v>
      </c>
      <c r="BJ72" s="272">
        <v>0</v>
      </c>
      <c r="BK72" s="272">
        <v>0</v>
      </c>
      <c r="BL72" s="272">
        <v>0</v>
      </c>
      <c r="BM72" s="272">
        <v>0</v>
      </c>
      <c r="BN72" s="272">
        <v>0</v>
      </c>
      <c r="BO72" s="272">
        <v>0</v>
      </c>
      <c r="BP72" s="272">
        <v>0</v>
      </c>
      <c r="BQ72" s="213">
        <f t="shared" si="151"/>
        <v>0</v>
      </c>
      <c r="BR72" s="338"/>
      <c r="BS72" s="255"/>
      <c r="BT72" s="255"/>
      <c r="BU72" s="336"/>
      <c r="BV72" s="337">
        <f>+(20500+18000+40000)*550</f>
        <v>43175000</v>
      </c>
      <c r="BW72" s="272">
        <f>60000*550</f>
        <v>33000000</v>
      </c>
      <c r="BX72" s="272">
        <v>0</v>
      </c>
      <c r="BY72" s="272">
        <v>0</v>
      </c>
      <c r="BZ72" s="272">
        <v>0</v>
      </c>
      <c r="CA72" s="272">
        <v>0</v>
      </c>
      <c r="CB72" s="272">
        <v>0</v>
      </c>
      <c r="CC72" s="272">
        <v>0</v>
      </c>
      <c r="CD72" s="339">
        <v>0</v>
      </c>
      <c r="CE72" s="217">
        <f>+BV72-BH72</f>
        <v>43175000</v>
      </c>
      <c r="CF72" s="170">
        <f>+BW72-BI72</f>
        <v>33000000</v>
      </c>
      <c r="CG72" s="170">
        <f t="shared" si="157"/>
        <v>0</v>
      </c>
      <c r="CH72" s="170">
        <f t="shared" si="157"/>
        <v>0</v>
      </c>
      <c r="CI72" s="170">
        <f t="shared" si="157"/>
        <v>0</v>
      </c>
      <c r="CJ72" s="170">
        <f t="shared" si="157"/>
        <v>0</v>
      </c>
      <c r="CK72" s="170">
        <f t="shared" si="157"/>
        <v>0</v>
      </c>
      <c r="CL72" s="170">
        <f t="shared" si="157"/>
        <v>0</v>
      </c>
      <c r="CM72" s="170">
        <f t="shared" si="157"/>
        <v>0</v>
      </c>
      <c r="CN72" s="218">
        <f t="shared" si="148"/>
        <v>76175000</v>
      </c>
      <c r="CO72" s="338"/>
      <c r="CP72" s="220">
        <v>138500</v>
      </c>
      <c r="CQ72" s="255" t="s">
        <v>485</v>
      </c>
      <c r="CR72" s="255"/>
      <c r="CS72" s="255"/>
      <c r="CT72" s="255"/>
      <c r="CU72" s="255"/>
      <c r="CV72" s="221">
        <f>+CN72-CP72*550</f>
        <v>0</v>
      </c>
      <c r="CW72" s="333"/>
      <c r="CX72" s="246"/>
    </row>
    <row r="73" spans="1:102" ht="26.1" customHeight="1" x14ac:dyDescent="0.25">
      <c r="A73" s="204" t="s">
        <v>69</v>
      </c>
      <c r="B73" s="362"/>
      <c r="C73" s="450" t="s">
        <v>69</v>
      </c>
      <c r="D73" s="451" t="s">
        <v>729</v>
      </c>
      <c r="E73" s="48" t="s">
        <v>4</v>
      </c>
      <c r="F73" s="48" t="s">
        <v>406</v>
      </c>
      <c r="G73" s="48" t="s">
        <v>63</v>
      </c>
      <c r="H73" s="94" t="s">
        <v>124</v>
      </c>
      <c r="I73" s="547"/>
      <c r="J73" s="548" t="s">
        <v>236</v>
      </c>
      <c r="K73" s="206"/>
      <c r="L73" s="207"/>
      <c r="M73" s="208"/>
      <c r="O73" s="204" t="s">
        <v>69</v>
      </c>
      <c r="P73" s="47" t="s">
        <v>4</v>
      </c>
      <c r="Q73" s="48" t="s">
        <v>406</v>
      </c>
      <c r="R73" s="48" t="s">
        <v>314</v>
      </c>
      <c r="S73" s="48" t="s">
        <v>314</v>
      </c>
      <c r="T73" s="48" t="s">
        <v>314</v>
      </c>
      <c r="U73" s="48" t="s">
        <v>314</v>
      </c>
      <c r="V73" s="48"/>
      <c r="W73" s="48"/>
      <c r="X73" s="48" t="s">
        <v>307</v>
      </c>
      <c r="Y73" s="48"/>
      <c r="Z73" s="48" t="s">
        <v>314</v>
      </c>
      <c r="AA73" s="48"/>
      <c r="AB73" s="48"/>
      <c r="AC73" s="48" t="s">
        <v>314</v>
      </c>
      <c r="AD73" s="48"/>
      <c r="AE73" s="48"/>
      <c r="AF73" s="209"/>
      <c r="AG73" s="47" t="s">
        <v>315</v>
      </c>
      <c r="AH73" s="210" t="s">
        <v>316</v>
      </c>
      <c r="AI73" s="68" t="s">
        <v>333</v>
      </c>
      <c r="AJ73" s="170">
        <v>9</v>
      </c>
      <c r="AK73" s="170">
        <v>9</v>
      </c>
      <c r="AL73" s="170">
        <v>9</v>
      </c>
      <c r="AM73" s="170">
        <v>9</v>
      </c>
      <c r="AN73" s="170">
        <v>9</v>
      </c>
      <c r="AO73" s="170">
        <v>9</v>
      </c>
      <c r="AP73" s="170">
        <v>9</v>
      </c>
      <c r="AQ73" s="170">
        <v>9</v>
      </c>
      <c r="AR73" s="170">
        <v>9</v>
      </c>
      <c r="AS73" s="170">
        <f t="shared" ref="AS73:BA73" si="158">+AJ73*2</f>
        <v>18</v>
      </c>
      <c r="AT73" s="170">
        <f t="shared" si="158"/>
        <v>18</v>
      </c>
      <c r="AU73" s="170">
        <f t="shared" si="158"/>
        <v>18</v>
      </c>
      <c r="AV73" s="170">
        <f t="shared" si="158"/>
        <v>18</v>
      </c>
      <c r="AW73" s="170">
        <f t="shared" si="158"/>
        <v>18</v>
      </c>
      <c r="AX73" s="170">
        <f t="shared" si="158"/>
        <v>18</v>
      </c>
      <c r="AY73" s="170">
        <f t="shared" si="158"/>
        <v>18</v>
      </c>
      <c r="AZ73" s="170">
        <f t="shared" si="158"/>
        <v>18</v>
      </c>
      <c r="BA73" s="170">
        <f t="shared" si="158"/>
        <v>18</v>
      </c>
      <c r="BB73" s="170"/>
      <c r="BC73" s="260"/>
      <c r="BD73" s="206" t="s">
        <v>334</v>
      </c>
      <c r="BE73" s="68" t="s">
        <v>349</v>
      </c>
      <c r="BF73" s="48" t="s">
        <v>313</v>
      </c>
      <c r="BG73" s="241"/>
      <c r="BH73" s="212">
        <f t="shared" ref="BH73:BP73" si="159">+AJ73*100000</f>
        <v>900000</v>
      </c>
      <c r="BI73" s="170">
        <f t="shared" si="159"/>
        <v>900000</v>
      </c>
      <c r="BJ73" s="170">
        <f t="shared" si="159"/>
        <v>900000</v>
      </c>
      <c r="BK73" s="170">
        <f t="shared" si="159"/>
        <v>900000</v>
      </c>
      <c r="BL73" s="170">
        <f t="shared" si="159"/>
        <v>900000</v>
      </c>
      <c r="BM73" s="170">
        <f t="shared" si="159"/>
        <v>900000</v>
      </c>
      <c r="BN73" s="170">
        <f t="shared" si="159"/>
        <v>900000</v>
      </c>
      <c r="BO73" s="170">
        <f t="shared" si="159"/>
        <v>900000</v>
      </c>
      <c r="BP73" s="170">
        <f t="shared" si="159"/>
        <v>900000</v>
      </c>
      <c r="BQ73" s="213">
        <f t="shared" si="151"/>
        <v>8100000</v>
      </c>
      <c r="BR73" s="242">
        <v>1</v>
      </c>
      <c r="BS73" s="48"/>
      <c r="BT73" s="48"/>
      <c r="BU73" s="243"/>
      <c r="BV73" s="212">
        <f>+AS73*100000</f>
        <v>1800000</v>
      </c>
      <c r="BW73" s="170">
        <f t="shared" ref="BW73:CD73" si="160">+AT73*100000</f>
        <v>1800000</v>
      </c>
      <c r="BX73" s="170">
        <f t="shared" si="160"/>
        <v>1800000</v>
      </c>
      <c r="BY73" s="170">
        <f t="shared" si="160"/>
        <v>1800000</v>
      </c>
      <c r="BZ73" s="170">
        <f t="shared" si="160"/>
        <v>1800000</v>
      </c>
      <c r="CA73" s="170">
        <f t="shared" si="160"/>
        <v>1800000</v>
      </c>
      <c r="CB73" s="170">
        <f t="shared" si="160"/>
        <v>1800000</v>
      </c>
      <c r="CC73" s="170">
        <f t="shared" si="160"/>
        <v>1800000</v>
      </c>
      <c r="CD73" s="213">
        <f t="shared" si="160"/>
        <v>1800000</v>
      </c>
      <c r="CE73" s="212">
        <f>+BV73-BH73</f>
        <v>900000</v>
      </c>
      <c r="CF73" s="170">
        <f t="shared" ref="CF73:CM73" si="161">+BW73-BI73</f>
        <v>900000</v>
      </c>
      <c r="CG73" s="170">
        <f t="shared" si="161"/>
        <v>900000</v>
      </c>
      <c r="CH73" s="170">
        <f t="shared" si="161"/>
        <v>900000</v>
      </c>
      <c r="CI73" s="170">
        <f t="shared" si="161"/>
        <v>900000</v>
      </c>
      <c r="CJ73" s="170">
        <f t="shared" si="161"/>
        <v>900000</v>
      </c>
      <c r="CK73" s="170">
        <f t="shared" si="161"/>
        <v>900000</v>
      </c>
      <c r="CL73" s="170">
        <f t="shared" si="161"/>
        <v>900000</v>
      </c>
      <c r="CM73" s="170">
        <f t="shared" si="161"/>
        <v>900000</v>
      </c>
      <c r="CN73" s="213">
        <f t="shared" si="148"/>
        <v>8100000</v>
      </c>
      <c r="CO73" s="219"/>
      <c r="CP73" s="220">
        <v>14000</v>
      </c>
      <c r="CQ73" s="220" t="s">
        <v>332</v>
      </c>
      <c r="CR73" s="210"/>
      <c r="CS73" s="210"/>
      <c r="CT73" s="210"/>
      <c r="CU73" s="210"/>
      <c r="CV73" s="221">
        <f>+CN73-CP73*550</f>
        <v>400000</v>
      </c>
      <c r="CW73" s="222"/>
      <c r="CX73" s="246"/>
    </row>
    <row r="74" spans="1:102" ht="26.1" hidden="1" customHeight="1" x14ac:dyDescent="0.25">
      <c r="A74" s="143" t="s">
        <v>70</v>
      </c>
      <c r="B74" s="360"/>
      <c r="C74" s="447" t="s">
        <v>70</v>
      </c>
      <c r="D74" s="154" t="s">
        <v>730</v>
      </c>
      <c r="E74" s="448" t="s">
        <v>1</v>
      </c>
      <c r="F74" s="145"/>
      <c r="G74" s="60"/>
      <c r="H74" s="453"/>
      <c r="I74" s="549"/>
      <c r="J74" s="550"/>
      <c r="K74" s="147" t="s">
        <v>259</v>
      </c>
      <c r="L74" s="148"/>
      <c r="M74" s="149"/>
      <c r="O74" s="143" t="s">
        <v>70</v>
      </c>
      <c r="P74" s="150"/>
      <c r="Q74" s="145"/>
      <c r="R74" s="145"/>
      <c r="S74" s="145"/>
      <c r="T74" s="145"/>
      <c r="U74" s="145"/>
      <c r="V74" s="145"/>
      <c r="W74" s="145"/>
      <c r="X74" s="145"/>
      <c r="Y74" s="145"/>
      <c r="Z74" s="145"/>
      <c r="AA74" s="145"/>
      <c r="AB74" s="145"/>
      <c r="AC74" s="145"/>
      <c r="AD74" s="145"/>
      <c r="AE74" s="145"/>
      <c r="AF74" s="151"/>
      <c r="AG74" s="150"/>
      <c r="AH74" s="145"/>
      <c r="AI74" s="145"/>
      <c r="AJ74" s="152"/>
      <c r="AK74" s="152"/>
      <c r="AL74" s="152"/>
      <c r="AM74" s="152"/>
      <c r="AN74" s="152"/>
      <c r="AO74" s="152"/>
      <c r="AP74" s="152"/>
      <c r="AQ74" s="152"/>
      <c r="AR74" s="152"/>
      <c r="AS74" s="152"/>
      <c r="AT74" s="152"/>
      <c r="AU74" s="152"/>
      <c r="AV74" s="152"/>
      <c r="AW74" s="152"/>
      <c r="AX74" s="152"/>
      <c r="AY74" s="152"/>
      <c r="AZ74" s="152"/>
      <c r="BA74" s="152"/>
      <c r="BB74" s="152"/>
      <c r="BC74" s="254"/>
      <c r="BD74" s="150"/>
      <c r="BE74" s="154" t="s">
        <v>357</v>
      </c>
      <c r="BF74" s="155"/>
      <c r="BG74" s="156">
        <f>SUM(BG75)</f>
        <v>0</v>
      </c>
      <c r="BH74" s="157">
        <f>SUM(BH75)</f>
        <v>0</v>
      </c>
      <c r="BI74" s="152">
        <f>SUM(BI75)</f>
        <v>0</v>
      </c>
      <c r="BJ74" s="152">
        <f t="shared" ref="BJ74:BP74" si="162">SUM(BJ75)</f>
        <v>0</v>
      </c>
      <c r="BK74" s="152">
        <f t="shared" si="162"/>
        <v>0</v>
      </c>
      <c r="BL74" s="152">
        <f t="shared" si="162"/>
        <v>0</v>
      </c>
      <c r="BM74" s="152">
        <f t="shared" si="162"/>
        <v>0</v>
      </c>
      <c r="BN74" s="152">
        <f t="shared" si="162"/>
        <v>0</v>
      </c>
      <c r="BO74" s="152">
        <f t="shared" si="162"/>
        <v>0</v>
      </c>
      <c r="BP74" s="152">
        <f t="shared" si="162"/>
        <v>0</v>
      </c>
      <c r="BQ74" s="156">
        <f t="shared" si="151"/>
        <v>0</v>
      </c>
      <c r="BR74" s="158"/>
      <c r="BS74" s="145"/>
      <c r="BT74" s="145"/>
      <c r="BU74" s="159"/>
      <c r="BV74" s="157">
        <f>SUM(BV75)</f>
        <v>3300000</v>
      </c>
      <c r="BW74" s="152">
        <f>SUM(BW75)</f>
        <v>3300000</v>
      </c>
      <c r="BX74" s="152">
        <f t="shared" ref="BX74:CC74" si="163">SUM(BX75)</f>
        <v>3300000</v>
      </c>
      <c r="BY74" s="152">
        <f t="shared" si="163"/>
        <v>0</v>
      </c>
      <c r="BZ74" s="152">
        <f t="shared" si="163"/>
        <v>0</v>
      </c>
      <c r="CA74" s="152">
        <f t="shared" si="163"/>
        <v>0</v>
      </c>
      <c r="CB74" s="152">
        <f t="shared" si="163"/>
        <v>0</v>
      </c>
      <c r="CC74" s="152">
        <f t="shared" si="163"/>
        <v>0</v>
      </c>
      <c r="CD74" s="156">
        <f>SUM(CD75)</f>
        <v>0</v>
      </c>
      <c r="CE74" s="157">
        <f>SUM(CE75)</f>
        <v>3300000</v>
      </c>
      <c r="CF74" s="152">
        <f>SUM(CF75)</f>
        <v>3300000</v>
      </c>
      <c r="CG74" s="152">
        <f t="shared" ref="CG74:CM74" si="164">SUM(CG75)</f>
        <v>3300000</v>
      </c>
      <c r="CH74" s="152">
        <f t="shared" si="164"/>
        <v>0</v>
      </c>
      <c r="CI74" s="152">
        <f t="shared" si="164"/>
        <v>0</v>
      </c>
      <c r="CJ74" s="152">
        <f t="shared" si="164"/>
        <v>0</v>
      </c>
      <c r="CK74" s="152">
        <f t="shared" si="164"/>
        <v>0</v>
      </c>
      <c r="CL74" s="152">
        <f t="shared" si="164"/>
        <v>0</v>
      </c>
      <c r="CM74" s="152">
        <f t="shared" si="164"/>
        <v>0</v>
      </c>
      <c r="CN74" s="156">
        <f t="shared" ref="CN74:CN82" si="165">SUM(CE74:CM74)</f>
        <v>9900000</v>
      </c>
      <c r="CO74" s="158"/>
      <c r="CP74" s="160">
        <f>SUM(CP75)</f>
        <v>18000</v>
      </c>
      <c r="CQ74" s="145"/>
      <c r="CR74" s="145"/>
      <c r="CS74" s="145"/>
      <c r="CT74" s="145"/>
      <c r="CU74" s="145"/>
      <c r="CV74" s="161">
        <f>SUM(CV75)</f>
        <v>0</v>
      </c>
      <c r="CW74" s="151"/>
      <c r="CX74" s="162"/>
    </row>
    <row r="75" spans="1:102" ht="26.1" customHeight="1" x14ac:dyDescent="0.25">
      <c r="A75" s="312" t="s">
        <v>71</v>
      </c>
      <c r="B75" s="364"/>
      <c r="C75" s="459" t="s">
        <v>71</v>
      </c>
      <c r="D75" s="451" t="s">
        <v>731</v>
      </c>
      <c r="E75" s="424" t="s">
        <v>2</v>
      </c>
      <c r="F75" s="424" t="s">
        <v>403</v>
      </c>
      <c r="G75" s="424" t="s">
        <v>400</v>
      </c>
      <c r="H75" s="94" t="s">
        <v>125</v>
      </c>
      <c r="I75" s="547" t="s">
        <v>245</v>
      </c>
      <c r="J75" s="548" t="s">
        <v>230</v>
      </c>
      <c r="K75" s="206"/>
      <c r="L75" s="207"/>
      <c r="M75" s="208"/>
      <c r="O75" s="312" t="s">
        <v>71</v>
      </c>
      <c r="P75" s="332"/>
      <c r="Q75" s="77" t="s">
        <v>400</v>
      </c>
      <c r="R75" s="255"/>
      <c r="S75" s="255"/>
      <c r="T75" s="255"/>
      <c r="U75" s="255"/>
      <c r="V75" s="255"/>
      <c r="W75" s="255"/>
      <c r="X75" s="255"/>
      <c r="Y75" s="255"/>
      <c r="Z75" s="255"/>
      <c r="AA75" s="255"/>
      <c r="AB75" s="255"/>
      <c r="AC75" s="255"/>
      <c r="AD75" s="255"/>
      <c r="AE75" s="255"/>
      <c r="AF75" s="333"/>
      <c r="AG75" s="332"/>
      <c r="AH75" s="255"/>
      <c r="AI75" s="255"/>
      <c r="AJ75" s="272"/>
      <c r="AK75" s="272"/>
      <c r="AL75" s="272"/>
      <c r="AM75" s="272"/>
      <c r="AN75" s="272"/>
      <c r="AO75" s="272"/>
      <c r="AP75" s="272"/>
      <c r="AQ75" s="272"/>
      <c r="AR75" s="272"/>
      <c r="AS75" s="272"/>
      <c r="AT75" s="272"/>
      <c r="AU75" s="272"/>
      <c r="AV75" s="272"/>
      <c r="AW75" s="272"/>
      <c r="AX75" s="272"/>
      <c r="AY75" s="272"/>
      <c r="AZ75" s="272"/>
      <c r="BA75" s="272"/>
      <c r="BB75" s="272"/>
      <c r="BC75" s="334"/>
      <c r="BD75" s="332"/>
      <c r="BE75" s="68" t="s">
        <v>349</v>
      </c>
      <c r="BF75" s="335" t="s">
        <v>323</v>
      </c>
      <c r="BG75" s="336"/>
      <c r="BH75" s="337">
        <v>0</v>
      </c>
      <c r="BI75" s="272">
        <v>0</v>
      </c>
      <c r="BJ75" s="272">
        <v>0</v>
      </c>
      <c r="BK75" s="272">
        <v>0</v>
      </c>
      <c r="BL75" s="272">
        <v>0</v>
      </c>
      <c r="BM75" s="272">
        <v>0</v>
      </c>
      <c r="BN75" s="272">
        <v>0</v>
      </c>
      <c r="BO75" s="272">
        <v>0</v>
      </c>
      <c r="BP75" s="272">
        <v>0</v>
      </c>
      <c r="BQ75" s="213">
        <f t="shared" si="151"/>
        <v>0</v>
      </c>
      <c r="BR75" s="338"/>
      <c r="BS75" s="255"/>
      <c r="BT75" s="255"/>
      <c r="BU75" s="336"/>
      <c r="BV75" s="337">
        <f>24000*0.25*550</f>
        <v>3300000</v>
      </c>
      <c r="BW75" s="340">
        <f>24000*0.25*550</f>
        <v>3300000</v>
      </c>
      <c r="BX75" s="340">
        <f>24000*0.25*550</f>
        <v>3300000</v>
      </c>
      <c r="BY75" s="272">
        <v>0</v>
      </c>
      <c r="BZ75" s="272">
        <v>0</v>
      </c>
      <c r="CA75" s="272">
        <v>0</v>
      </c>
      <c r="CB75" s="272">
        <v>0</v>
      </c>
      <c r="CC75" s="272">
        <v>0</v>
      </c>
      <c r="CD75" s="339">
        <v>0</v>
      </c>
      <c r="CE75" s="217">
        <f>+BV75-BH75</f>
        <v>3300000</v>
      </c>
      <c r="CF75" s="170">
        <f>+BW75-BI75</f>
        <v>3300000</v>
      </c>
      <c r="CG75" s="170">
        <f t="shared" ref="CG75:CM75" si="166">+BX75-BJ75</f>
        <v>3300000</v>
      </c>
      <c r="CH75" s="170">
        <f t="shared" si="166"/>
        <v>0</v>
      </c>
      <c r="CI75" s="170">
        <f t="shared" si="166"/>
        <v>0</v>
      </c>
      <c r="CJ75" s="170">
        <f t="shared" si="166"/>
        <v>0</v>
      </c>
      <c r="CK75" s="170">
        <f t="shared" si="166"/>
        <v>0</v>
      </c>
      <c r="CL75" s="170">
        <f t="shared" si="166"/>
        <v>0</v>
      </c>
      <c r="CM75" s="170">
        <f t="shared" si="166"/>
        <v>0</v>
      </c>
      <c r="CN75" s="218">
        <f>SUM(CE75:CM75)</f>
        <v>9900000</v>
      </c>
      <c r="CO75" s="338"/>
      <c r="CP75" s="220">
        <f>24000*3*1/4</f>
        <v>18000</v>
      </c>
      <c r="CQ75" s="255" t="s">
        <v>351</v>
      </c>
      <c r="CR75" s="255"/>
      <c r="CS75" s="255"/>
      <c r="CT75" s="255"/>
      <c r="CU75" s="255"/>
      <c r="CV75" s="221">
        <f>+CN75-CP75*550</f>
        <v>0</v>
      </c>
      <c r="CW75" s="333"/>
      <c r="CX75" s="246"/>
    </row>
    <row r="76" spans="1:102" ht="26.1" hidden="1" customHeight="1" x14ac:dyDescent="0.25">
      <c r="A76" s="143" t="s">
        <v>72</v>
      </c>
      <c r="B76" s="360"/>
      <c r="C76" s="447" t="s">
        <v>72</v>
      </c>
      <c r="D76" s="154" t="s">
        <v>732</v>
      </c>
      <c r="E76" s="448" t="s">
        <v>2</v>
      </c>
      <c r="F76" s="145"/>
      <c r="G76" s="60"/>
      <c r="H76" s="453"/>
      <c r="I76" s="549"/>
      <c r="J76" s="550"/>
      <c r="K76" s="147" t="s">
        <v>259</v>
      </c>
      <c r="L76" s="148"/>
      <c r="M76" s="149"/>
      <c r="O76" s="143" t="s">
        <v>72</v>
      </c>
      <c r="P76" s="150"/>
      <c r="Q76" s="145"/>
      <c r="R76" s="145"/>
      <c r="S76" s="145"/>
      <c r="T76" s="145"/>
      <c r="U76" s="145"/>
      <c r="V76" s="145"/>
      <c r="W76" s="145"/>
      <c r="X76" s="145"/>
      <c r="Y76" s="145"/>
      <c r="Z76" s="145"/>
      <c r="AA76" s="145"/>
      <c r="AB76" s="145"/>
      <c r="AC76" s="145"/>
      <c r="AD76" s="145"/>
      <c r="AE76" s="145"/>
      <c r="AF76" s="151"/>
      <c r="AG76" s="150"/>
      <c r="AH76" s="145"/>
      <c r="AI76" s="145"/>
      <c r="AJ76" s="152"/>
      <c r="AK76" s="152"/>
      <c r="AL76" s="152"/>
      <c r="AM76" s="152"/>
      <c r="AN76" s="152"/>
      <c r="AO76" s="152"/>
      <c r="AP76" s="152"/>
      <c r="AQ76" s="152"/>
      <c r="AR76" s="152"/>
      <c r="AS76" s="152"/>
      <c r="AT76" s="152"/>
      <c r="AU76" s="152"/>
      <c r="AV76" s="152"/>
      <c r="AW76" s="152"/>
      <c r="AX76" s="152"/>
      <c r="AY76" s="152"/>
      <c r="AZ76" s="152"/>
      <c r="BA76" s="152"/>
      <c r="BB76" s="152"/>
      <c r="BC76" s="254"/>
      <c r="BD76" s="150"/>
      <c r="BE76" s="154" t="s">
        <v>356</v>
      </c>
      <c r="BF76" s="155"/>
      <c r="BG76" s="156">
        <f>SUM(BG77)</f>
        <v>0</v>
      </c>
      <c r="BH76" s="157">
        <f>SUM(BH77)</f>
        <v>0</v>
      </c>
      <c r="BI76" s="152">
        <f>SUM(BI77)</f>
        <v>0</v>
      </c>
      <c r="BJ76" s="152">
        <f t="shared" ref="BJ76:BP76" si="167">SUM(BJ77)</f>
        <v>0</v>
      </c>
      <c r="BK76" s="152">
        <f t="shared" si="167"/>
        <v>0</v>
      </c>
      <c r="BL76" s="152">
        <f t="shared" si="167"/>
        <v>0</v>
      </c>
      <c r="BM76" s="152">
        <f t="shared" si="167"/>
        <v>0</v>
      </c>
      <c r="BN76" s="152">
        <f t="shared" si="167"/>
        <v>0</v>
      </c>
      <c r="BO76" s="152">
        <f t="shared" si="167"/>
        <v>0</v>
      </c>
      <c r="BP76" s="152">
        <f t="shared" si="167"/>
        <v>0</v>
      </c>
      <c r="BQ76" s="156">
        <f t="shared" si="151"/>
        <v>0</v>
      </c>
      <c r="BR76" s="158"/>
      <c r="BS76" s="145"/>
      <c r="BT76" s="145"/>
      <c r="BU76" s="159"/>
      <c r="BV76" s="157">
        <f>SUM(BV77)</f>
        <v>550000</v>
      </c>
      <c r="BW76" s="152">
        <f>SUM(BW77)</f>
        <v>550000</v>
      </c>
      <c r="BX76" s="152">
        <f t="shared" ref="BX76:CC76" si="168">SUM(BX77)</f>
        <v>550000</v>
      </c>
      <c r="BY76" s="152">
        <f t="shared" si="168"/>
        <v>550000</v>
      </c>
      <c r="BZ76" s="152">
        <f t="shared" si="168"/>
        <v>550000</v>
      </c>
      <c r="CA76" s="152">
        <f t="shared" si="168"/>
        <v>550000</v>
      </c>
      <c r="CB76" s="152">
        <f t="shared" si="168"/>
        <v>550000</v>
      </c>
      <c r="CC76" s="152">
        <f t="shared" si="168"/>
        <v>550000</v>
      </c>
      <c r="CD76" s="156">
        <f>SUM(CD77)</f>
        <v>550000</v>
      </c>
      <c r="CE76" s="157">
        <f>SUM(CE77)</f>
        <v>550000</v>
      </c>
      <c r="CF76" s="152">
        <f>SUM(CF77)</f>
        <v>550000</v>
      </c>
      <c r="CG76" s="152">
        <f t="shared" ref="CG76:CM76" si="169">SUM(CG77)</f>
        <v>550000</v>
      </c>
      <c r="CH76" s="152">
        <f t="shared" si="169"/>
        <v>550000</v>
      </c>
      <c r="CI76" s="152">
        <f t="shared" si="169"/>
        <v>550000</v>
      </c>
      <c r="CJ76" s="152">
        <f t="shared" si="169"/>
        <v>550000</v>
      </c>
      <c r="CK76" s="152">
        <f t="shared" si="169"/>
        <v>550000</v>
      </c>
      <c r="CL76" s="152">
        <f t="shared" si="169"/>
        <v>550000</v>
      </c>
      <c r="CM76" s="152">
        <f t="shared" si="169"/>
        <v>550000</v>
      </c>
      <c r="CN76" s="156">
        <f t="shared" si="165"/>
        <v>4950000</v>
      </c>
      <c r="CO76" s="158"/>
      <c r="CP76" s="160">
        <f>SUM(CP77)</f>
        <v>0</v>
      </c>
      <c r="CQ76" s="145"/>
      <c r="CR76" s="145"/>
      <c r="CS76" s="145"/>
      <c r="CT76" s="145"/>
      <c r="CU76" s="145"/>
      <c r="CV76" s="161">
        <f>SUM(CV77)</f>
        <v>4950000</v>
      </c>
      <c r="CW76" s="151"/>
      <c r="CX76" s="162"/>
    </row>
    <row r="77" spans="1:102" ht="26.1" customHeight="1" x14ac:dyDescent="0.25">
      <c r="A77" s="204" t="s">
        <v>73</v>
      </c>
      <c r="B77" s="362"/>
      <c r="C77" s="450" t="s">
        <v>73</v>
      </c>
      <c r="D77" s="451" t="s">
        <v>733</v>
      </c>
      <c r="E77" s="48" t="s">
        <v>2</v>
      </c>
      <c r="F77" s="48" t="s">
        <v>403</v>
      </c>
      <c r="G77" s="48" t="s">
        <v>393</v>
      </c>
      <c r="H77" s="94" t="s">
        <v>126</v>
      </c>
      <c r="I77" s="547"/>
      <c r="J77" s="548" t="s">
        <v>230</v>
      </c>
      <c r="K77" s="206"/>
      <c r="L77" s="207"/>
      <c r="M77" s="208"/>
      <c r="O77" s="204" t="s">
        <v>73</v>
      </c>
      <c r="P77" s="47" t="s">
        <v>3</v>
      </c>
      <c r="Q77" s="48" t="s">
        <v>403</v>
      </c>
      <c r="R77" s="48" t="s">
        <v>314</v>
      </c>
      <c r="S77" s="48" t="s">
        <v>314</v>
      </c>
      <c r="T77" s="48"/>
      <c r="U77" s="48" t="s">
        <v>307</v>
      </c>
      <c r="V77" s="48"/>
      <c r="W77" s="48"/>
      <c r="X77" s="48" t="s">
        <v>314</v>
      </c>
      <c r="Y77" s="48"/>
      <c r="Z77" s="48"/>
      <c r="AA77" s="48"/>
      <c r="AB77" s="48"/>
      <c r="AC77" s="48"/>
      <c r="AD77" s="48"/>
      <c r="AE77" s="48" t="s">
        <v>314</v>
      </c>
      <c r="AF77" s="209"/>
      <c r="AG77" s="47" t="s">
        <v>315</v>
      </c>
      <c r="AH77" s="210" t="s">
        <v>319</v>
      </c>
      <c r="AI77" s="68" t="s">
        <v>341</v>
      </c>
      <c r="AJ77" s="170">
        <v>0</v>
      </c>
      <c r="AK77" s="170">
        <v>0</v>
      </c>
      <c r="AL77" s="170">
        <v>0</v>
      </c>
      <c r="AM77" s="170">
        <v>0</v>
      </c>
      <c r="AN77" s="170">
        <v>0</v>
      </c>
      <c r="AO77" s="170">
        <v>0</v>
      </c>
      <c r="AP77" s="170">
        <v>0</v>
      </c>
      <c r="AQ77" s="170">
        <v>0</v>
      </c>
      <c r="AR77" s="170">
        <v>0</v>
      </c>
      <c r="AS77" s="170">
        <v>6</v>
      </c>
      <c r="AT77" s="170">
        <v>6</v>
      </c>
      <c r="AU77" s="170">
        <v>6</v>
      </c>
      <c r="AV77" s="170">
        <v>6</v>
      </c>
      <c r="AW77" s="170">
        <v>6</v>
      </c>
      <c r="AX77" s="170">
        <v>6</v>
      </c>
      <c r="AY77" s="170">
        <v>6</v>
      </c>
      <c r="AZ77" s="170">
        <v>6</v>
      </c>
      <c r="BA77" s="170">
        <v>6</v>
      </c>
      <c r="BB77" s="170"/>
      <c r="BC77" s="260"/>
      <c r="BD77" s="206"/>
      <c r="BE77" s="68" t="s">
        <v>321</v>
      </c>
      <c r="BF77" s="48" t="s">
        <v>313</v>
      </c>
      <c r="BG77" s="241"/>
      <c r="BH77" s="212">
        <v>0</v>
      </c>
      <c r="BI77" s="170">
        <v>0</v>
      </c>
      <c r="BJ77" s="170">
        <v>0</v>
      </c>
      <c r="BK77" s="170">
        <v>0</v>
      </c>
      <c r="BL77" s="170">
        <v>0</v>
      </c>
      <c r="BM77" s="170">
        <v>0</v>
      </c>
      <c r="BN77" s="170">
        <v>0</v>
      </c>
      <c r="BO77" s="170">
        <v>0</v>
      </c>
      <c r="BP77" s="170">
        <v>0</v>
      </c>
      <c r="BQ77" s="213">
        <f t="shared" si="151"/>
        <v>0</v>
      </c>
      <c r="BR77" s="245"/>
      <c r="BS77" s="48"/>
      <c r="BT77" s="48"/>
      <c r="BU77" s="243"/>
      <c r="BV77" s="212">
        <f>1000*550</f>
        <v>550000</v>
      </c>
      <c r="BW77" s="170">
        <f t="shared" ref="BW77:CD77" si="170">1000*550</f>
        <v>550000</v>
      </c>
      <c r="BX77" s="170">
        <f t="shared" si="170"/>
        <v>550000</v>
      </c>
      <c r="BY77" s="170">
        <f t="shared" si="170"/>
        <v>550000</v>
      </c>
      <c r="BZ77" s="170">
        <f t="shared" si="170"/>
        <v>550000</v>
      </c>
      <c r="CA77" s="170">
        <f t="shared" si="170"/>
        <v>550000</v>
      </c>
      <c r="CB77" s="170">
        <f t="shared" si="170"/>
        <v>550000</v>
      </c>
      <c r="CC77" s="170">
        <f t="shared" si="170"/>
        <v>550000</v>
      </c>
      <c r="CD77" s="213">
        <f t="shared" si="170"/>
        <v>550000</v>
      </c>
      <c r="CE77" s="217">
        <f>+BV77-BH77</f>
        <v>550000</v>
      </c>
      <c r="CF77" s="170">
        <f>+BW77-BI77</f>
        <v>550000</v>
      </c>
      <c r="CG77" s="170">
        <f t="shared" ref="CG77:CM77" si="171">+BX77-BJ77</f>
        <v>550000</v>
      </c>
      <c r="CH77" s="170">
        <f t="shared" si="171"/>
        <v>550000</v>
      </c>
      <c r="CI77" s="170">
        <f t="shared" si="171"/>
        <v>550000</v>
      </c>
      <c r="CJ77" s="170">
        <f t="shared" si="171"/>
        <v>550000</v>
      </c>
      <c r="CK77" s="170">
        <f t="shared" si="171"/>
        <v>550000</v>
      </c>
      <c r="CL77" s="170">
        <f t="shared" si="171"/>
        <v>550000</v>
      </c>
      <c r="CM77" s="170">
        <f t="shared" si="171"/>
        <v>550000</v>
      </c>
      <c r="CN77" s="218">
        <f>SUM(CE77:CM77)</f>
        <v>4950000</v>
      </c>
      <c r="CO77" s="219"/>
      <c r="CP77" s="220"/>
      <c r="CQ77" s="220"/>
      <c r="CR77" s="210"/>
      <c r="CS77" s="210"/>
      <c r="CT77" s="210"/>
      <c r="CU77" s="210"/>
      <c r="CV77" s="221">
        <f>+CN77-CP77*550</f>
        <v>4950000</v>
      </c>
      <c r="CW77" s="222"/>
      <c r="CX77" s="246"/>
    </row>
    <row r="78" spans="1:102" ht="26.1" hidden="1" customHeight="1" x14ac:dyDescent="0.25">
      <c r="A78" s="143" t="s">
        <v>74</v>
      </c>
      <c r="B78" s="360"/>
      <c r="C78" s="447" t="s">
        <v>74</v>
      </c>
      <c r="D78" s="154" t="s">
        <v>734</v>
      </c>
      <c r="E78" s="448" t="s">
        <v>491</v>
      </c>
      <c r="F78" s="145"/>
      <c r="G78" s="60"/>
      <c r="H78" s="453"/>
      <c r="I78" s="549"/>
      <c r="J78" s="550"/>
      <c r="K78" s="147" t="s">
        <v>259</v>
      </c>
      <c r="L78" s="148"/>
      <c r="M78" s="149"/>
      <c r="O78" s="143" t="s">
        <v>74</v>
      </c>
      <c r="P78" s="150"/>
      <c r="Q78" s="145"/>
      <c r="R78" s="145"/>
      <c r="S78" s="145"/>
      <c r="T78" s="145"/>
      <c r="U78" s="145"/>
      <c r="V78" s="145"/>
      <c r="W78" s="145"/>
      <c r="X78" s="145"/>
      <c r="Y78" s="145"/>
      <c r="Z78" s="145"/>
      <c r="AA78" s="145"/>
      <c r="AB78" s="145"/>
      <c r="AC78" s="145"/>
      <c r="AD78" s="145"/>
      <c r="AE78" s="145"/>
      <c r="AF78" s="151"/>
      <c r="AG78" s="150"/>
      <c r="AH78" s="145"/>
      <c r="AI78" s="145"/>
      <c r="AJ78" s="152"/>
      <c r="AK78" s="152"/>
      <c r="AL78" s="152"/>
      <c r="AM78" s="152"/>
      <c r="AN78" s="152"/>
      <c r="AO78" s="152"/>
      <c r="AP78" s="152"/>
      <c r="AQ78" s="152"/>
      <c r="AR78" s="152"/>
      <c r="AS78" s="152"/>
      <c r="AT78" s="152"/>
      <c r="AU78" s="152"/>
      <c r="AV78" s="152"/>
      <c r="AW78" s="152"/>
      <c r="AX78" s="152"/>
      <c r="AY78" s="152"/>
      <c r="AZ78" s="152"/>
      <c r="BA78" s="152"/>
      <c r="BB78" s="152"/>
      <c r="BC78" s="254"/>
      <c r="BD78" s="150"/>
      <c r="BE78" s="154" t="s">
        <v>356</v>
      </c>
      <c r="BF78" s="155"/>
      <c r="BG78" s="156">
        <f>SUM(BG79:BG81)</f>
        <v>4200000</v>
      </c>
      <c r="BH78" s="157">
        <f>SUM(BH79:BH81)</f>
        <v>130150000</v>
      </c>
      <c r="BI78" s="152">
        <f>SUM(BI79:BI81)</f>
        <v>131950000</v>
      </c>
      <c r="BJ78" s="152">
        <f t="shared" ref="BJ78:BP78" si="172">SUM(BJ79:BJ81)</f>
        <v>100816666.66666669</v>
      </c>
      <c r="BK78" s="152">
        <f t="shared" si="172"/>
        <v>71483333.333333299</v>
      </c>
      <c r="BL78" s="152">
        <f t="shared" si="172"/>
        <v>41250000</v>
      </c>
      <c r="BM78" s="152">
        <f t="shared" si="172"/>
        <v>42150000</v>
      </c>
      <c r="BN78" s="152">
        <f t="shared" si="172"/>
        <v>41250000</v>
      </c>
      <c r="BO78" s="152">
        <f t="shared" si="172"/>
        <v>42150000</v>
      </c>
      <c r="BP78" s="152">
        <f t="shared" si="172"/>
        <v>41250000</v>
      </c>
      <c r="BQ78" s="156">
        <f t="shared" si="151"/>
        <v>642450000</v>
      </c>
      <c r="BR78" s="158"/>
      <c r="BS78" s="145"/>
      <c r="BT78" s="145"/>
      <c r="BU78" s="159"/>
      <c r="BV78" s="157">
        <f>SUM(BV79:BV81)</f>
        <v>410730000</v>
      </c>
      <c r="BW78" s="152">
        <f>SUM(BW79:BW81)</f>
        <v>533350000</v>
      </c>
      <c r="BX78" s="152">
        <f t="shared" ref="BX78:CC78" si="173">SUM(BX79:BX81)</f>
        <v>253586666.66666669</v>
      </c>
      <c r="BY78" s="152">
        <f t="shared" si="173"/>
        <v>117183333.3333333</v>
      </c>
      <c r="BZ78" s="152">
        <f t="shared" si="173"/>
        <v>41250000</v>
      </c>
      <c r="CA78" s="152">
        <f t="shared" si="173"/>
        <v>52650000</v>
      </c>
      <c r="CB78" s="152">
        <f t="shared" si="173"/>
        <v>41250000</v>
      </c>
      <c r="CC78" s="152">
        <f t="shared" si="173"/>
        <v>52650000</v>
      </c>
      <c r="CD78" s="156">
        <f>SUM(CD79:CD81)</f>
        <v>52650000</v>
      </c>
      <c r="CE78" s="157">
        <f>SUM(CE79:CE81)</f>
        <v>280580000</v>
      </c>
      <c r="CF78" s="152">
        <f>SUM(CF79:CF81)</f>
        <v>401400000</v>
      </c>
      <c r="CG78" s="152">
        <f t="shared" ref="CG78:CM78" si="174">SUM(CG79:CG81)</f>
        <v>152770000</v>
      </c>
      <c r="CH78" s="152">
        <f t="shared" si="174"/>
        <v>45700000</v>
      </c>
      <c r="CI78" s="152">
        <f t="shared" si="174"/>
        <v>0</v>
      </c>
      <c r="CJ78" s="152">
        <f t="shared" si="174"/>
        <v>10500000</v>
      </c>
      <c r="CK78" s="152">
        <f t="shared" si="174"/>
        <v>11400000</v>
      </c>
      <c r="CL78" s="152">
        <f t="shared" si="174"/>
        <v>10500000</v>
      </c>
      <c r="CM78" s="152">
        <f t="shared" si="174"/>
        <v>11400000</v>
      </c>
      <c r="CN78" s="156">
        <f t="shared" si="165"/>
        <v>924250000</v>
      </c>
      <c r="CO78" s="158"/>
      <c r="CP78" s="160">
        <f>SUM(CP79:CP81)</f>
        <v>1340000</v>
      </c>
      <c r="CQ78" s="145"/>
      <c r="CR78" s="145"/>
      <c r="CS78" s="145"/>
      <c r="CT78" s="145"/>
      <c r="CU78" s="145"/>
      <c r="CV78" s="161">
        <f>SUM(CV79:CV81)</f>
        <v>187250000</v>
      </c>
      <c r="CW78" s="151"/>
      <c r="CX78" s="162"/>
    </row>
    <row r="79" spans="1:102" ht="26.1" customHeight="1" x14ac:dyDescent="0.25">
      <c r="A79" s="204" t="s">
        <v>75</v>
      </c>
      <c r="B79" s="362"/>
      <c r="C79" s="450" t="s">
        <v>75</v>
      </c>
      <c r="D79" s="451" t="s">
        <v>735</v>
      </c>
      <c r="E79" s="48" t="s">
        <v>6</v>
      </c>
      <c r="F79" s="335" t="s">
        <v>431</v>
      </c>
      <c r="G79" s="48" t="s">
        <v>76</v>
      </c>
      <c r="H79" s="455" t="s">
        <v>127</v>
      </c>
      <c r="I79" s="547"/>
      <c r="J79" s="548" t="s">
        <v>229</v>
      </c>
      <c r="K79" s="206"/>
      <c r="L79" s="207"/>
      <c r="M79" s="208"/>
      <c r="O79" s="204" t="s">
        <v>75</v>
      </c>
      <c r="P79" s="47" t="s">
        <v>6</v>
      </c>
      <c r="Q79" s="48" t="s">
        <v>76</v>
      </c>
      <c r="R79" s="50"/>
      <c r="S79" s="50" t="s">
        <v>314</v>
      </c>
      <c r="T79" s="50"/>
      <c r="U79" s="50" t="s">
        <v>314</v>
      </c>
      <c r="V79" s="50"/>
      <c r="W79" s="50"/>
      <c r="X79" s="50" t="s">
        <v>314</v>
      </c>
      <c r="Y79" s="50"/>
      <c r="Z79" s="50"/>
      <c r="AA79" s="50"/>
      <c r="AB79" s="50"/>
      <c r="AC79" s="50"/>
      <c r="AD79" s="50"/>
      <c r="AE79" s="50" t="s">
        <v>307</v>
      </c>
      <c r="AF79" s="259" t="s">
        <v>314</v>
      </c>
      <c r="AG79" s="47" t="s">
        <v>315</v>
      </c>
      <c r="AH79" s="210" t="s">
        <v>319</v>
      </c>
      <c r="AI79" s="68" t="s">
        <v>422</v>
      </c>
      <c r="AJ79" s="170">
        <v>0</v>
      </c>
      <c r="AK79" s="170">
        <v>0</v>
      </c>
      <c r="AL79" s="170">
        <v>0</v>
      </c>
      <c r="AM79" s="170">
        <v>0.5</v>
      </c>
      <c r="AN79" s="170">
        <v>0</v>
      </c>
      <c r="AO79" s="170">
        <v>0</v>
      </c>
      <c r="AP79" s="170">
        <v>0</v>
      </c>
      <c r="AQ79" s="170">
        <v>0</v>
      </c>
      <c r="AR79" s="170">
        <v>0</v>
      </c>
      <c r="AS79" s="170">
        <v>0</v>
      </c>
      <c r="AT79" s="170">
        <v>0</v>
      </c>
      <c r="AU79" s="170">
        <v>0</v>
      </c>
      <c r="AV79" s="170">
        <v>1</v>
      </c>
      <c r="AW79" s="170">
        <v>0</v>
      </c>
      <c r="AX79" s="170">
        <v>0</v>
      </c>
      <c r="AY79" s="170">
        <v>0</v>
      </c>
      <c r="AZ79" s="170">
        <v>0</v>
      </c>
      <c r="BA79" s="170">
        <v>0</v>
      </c>
      <c r="BB79" s="170"/>
      <c r="BC79" s="170"/>
      <c r="BD79" s="206" t="s">
        <v>330</v>
      </c>
      <c r="BE79" s="257" t="s">
        <v>423</v>
      </c>
      <c r="BF79" s="48" t="s">
        <v>323</v>
      </c>
      <c r="BG79" s="211"/>
      <c r="BH79" s="212">
        <f>75000*550+480000/3*550</f>
        <v>129250000</v>
      </c>
      <c r="BI79" s="170">
        <f>75000*550+480000/3*550</f>
        <v>129250000</v>
      </c>
      <c r="BJ79" s="170">
        <f>75000*550+480000/3*0.666666666666667*550</f>
        <v>99916666.666666687</v>
      </c>
      <c r="BK79" s="170">
        <f>75000*550+480000/3*0.333333333333333*550</f>
        <v>70583333.333333299</v>
      </c>
      <c r="BL79" s="170">
        <f>75000*550</f>
        <v>41250000</v>
      </c>
      <c r="BM79" s="170">
        <f>75000*550</f>
        <v>41250000</v>
      </c>
      <c r="BN79" s="170">
        <f>75000*550</f>
        <v>41250000</v>
      </c>
      <c r="BO79" s="170">
        <f>75000*550</f>
        <v>41250000</v>
      </c>
      <c r="BP79" s="170">
        <f>75000*550</f>
        <v>41250000</v>
      </c>
      <c r="BQ79" s="213">
        <f t="shared" si="151"/>
        <v>635250000</v>
      </c>
      <c r="BR79" s="330">
        <f>75000/555000</f>
        <v>0.13513513513513514</v>
      </c>
      <c r="BS79" s="48" t="s">
        <v>424</v>
      </c>
      <c r="BT79" s="341">
        <f>480000/555000</f>
        <v>0.86486486486486491</v>
      </c>
      <c r="BU79" s="216" t="s">
        <v>507</v>
      </c>
      <c r="BV79" s="212">
        <f>75000*550+480000/3*550+CP79*0.3*550</f>
        <v>311080000</v>
      </c>
      <c r="BW79" s="170">
        <f>75000*550+480000/3*550+CP79*0.5*550</f>
        <v>432300000</v>
      </c>
      <c r="BX79" s="170">
        <f>75000*550+480000/3*0.666666666666667*550+CP79*0.2*550</f>
        <v>221136666.66666669</v>
      </c>
      <c r="BY79" s="170">
        <f>75000*550+480000/3*0.333333333333333*550</f>
        <v>70583333.333333299</v>
      </c>
      <c r="BZ79" s="170">
        <f>75000*550</f>
        <v>41250000</v>
      </c>
      <c r="CA79" s="170">
        <f>75000*550</f>
        <v>41250000</v>
      </c>
      <c r="CB79" s="170">
        <f>75000*550</f>
        <v>41250000</v>
      </c>
      <c r="CC79" s="170">
        <f>75000*550</f>
        <v>41250000</v>
      </c>
      <c r="CD79" s="213">
        <f>75000*550</f>
        <v>41250000</v>
      </c>
      <c r="CE79" s="217">
        <f t="shared" ref="CE79:CM81" si="175">+BV79-BH79</f>
        <v>181830000</v>
      </c>
      <c r="CF79" s="170">
        <f t="shared" si="175"/>
        <v>303050000</v>
      </c>
      <c r="CG79" s="170">
        <f t="shared" si="175"/>
        <v>121220000</v>
      </c>
      <c r="CH79" s="170">
        <f t="shared" si="175"/>
        <v>0</v>
      </c>
      <c r="CI79" s="170">
        <f t="shared" si="175"/>
        <v>0</v>
      </c>
      <c r="CJ79" s="170">
        <f t="shared" si="175"/>
        <v>0</v>
      </c>
      <c r="CK79" s="170">
        <f t="shared" si="175"/>
        <v>0</v>
      </c>
      <c r="CL79" s="170">
        <f t="shared" si="175"/>
        <v>0</v>
      </c>
      <c r="CM79" s="170">
        <f t="shared" si="175"/>
        <v>0</v>
      </c>
      <c r="CN79" s="218">
        <f>SUM(CE79:CM79)</f>
        <v>606100000</v>
      </c>
      <c r="CO79" s="219"/>
      <c r="CP79" s="220">
        <f>135000+967000</f>
        <v>1102000</v>
      </c>
      <c r="CQ79" s="220" t="s">
        <v>426</v>
      </c>
      <c r="CR79" s="210"/>
      <c r="CS79" s="210"/>
      <c r="CT79" s="210"/>
      <c r="CU79" s="210"/>
      <c r="CV79" s="221">
        <f>+CN79-CP79*550</f>
        <v>0</v>
      </c>
      <c r="CW79" s="222"/>
      <c r="CX79" s="248"/>
    </row>
    <row r="80" spans="1:102" ht="26.1" customHeight="1" x14ac:dyDescent="0.25">
      <c r="A80" s="204"/>
      <c r="B80" s="362"/>
      <c r="C80" s="450" t="s">
        <v>433</v>
      </c>
      <c r="D80" s="451" t="s">
        <v>736</v>
      </c>
      <c r="E80" s="48" t="s">
        <v>289</v>
      </c>
      <c r="F80" s="50" t="s">
        <v>659</v>
      </c>
      <c r="G80" s="48" t="s">
        <v>427</v>
      </c>
      <c r="H80" s="455" t="s">
        <v>661</v>
      </c>
      <c r="I80" s="547"/>
      <c r="J80" s="548"/>
      <c r="K80" s="206"/>
      <c r="L80" s="207"/>
      <c r="M80" s="208"/>
      <c r="O80" s="204" t="s">
        <v>433</v>
      </c>
      <c r="P80" s="47" t="s">
        <v>289</v>
      </c>
      <c r="Q80" s="48" t="s">
        <v>427</v>
      </c>
      <c r="R80" s="50"/>
      <c r="S80" s="50" t="s">
        <v>314</v>
      </c>
      <c r="T80" s="50"/>
      <c r="U80" s="50" t="s">
        <v>314</v>
      </c>
      <c r="V80" s="50"/>
      <c r="W80" s="50"/>
      <c r="X80" s="50" t="s">
        <v>314</v>
      </c>
      <c r="Y80" s="50"/>
      <c r="Z80" s="50"/>
      <c r="AA80" s="50"/>
      <c r="AB80" s="50"/>
      <c r="AC80" s="50"/>
      <c r="AD80" s="50"/>
      <c r="AE80" s="50" t="s">
        <v>307</v>
      </c>
      <c r="AF80" s="259" t="s">
        <v>314</v>
      </c>
      <c r="AG80" s="47" t="s">
        <v>315</v>
      </c>
      <c r="AH80" s="210" t="s">
        <v>319</v>
      </c>
      <c r="AI80" s="68" t="s">
        <v>428</v>
      </c>
      <c r="AJ80" s="170">
        <v>0</v>
      </c>
      <c r="AK80" s="170">
        <v>0</v>
      </c>
      <c r="AL80" s="170">
        <v>0</v>
      </c>
      <c r="AM80" s="170">
        <v>0</v>
      </c>
      <c r="AN80" s="170">
        <v>0</v>
      </c>
      <c r="AO80" s="170">
        <v>0</v>
      </c>
      <c r="AP80" s="170">
        <v>0</v>
      </c>
      <c r="AQ80" s="170">
        <v>0</v>
      </c>
      <c r="AR80" s="170">
        <v>0</v>
      </c>
      <c r="AS80" s="170">
        <v>0</v>
      </c>
      <c r="AT80" s="170">
        <v>1</v>
      </c>
      <c r="AU80" s="170">
        <v>0</v>
      </c>
      <c r="AV80" s="170">
        <v>0</v>
      </c>
      <c r="AW80" s="170">
        <v>0</v>
      </c>
      <c r="AX80" s="170">
        <v>0</v>
      </c>
      <c r="AY80" s="170">
        <v>0</v>
      </c>
      <c r="AZ80" s="170">
        <v>0</v>
      </c>
      <c r="BA80" s="170">
        <v>0</v>
      </c>
      <c r="BB80" s="170"/>
      <c r="BC80" s="170"/>
      <c r="BD80" s="206" t="s">
        <v>330</v>
      </c>
      <c r="BE80" s="257" t="s">
        <v>423</v>
      </c>
      <c r="BF80" s="48" t="s">
        <v>323</v>
      </c>
      <c r="BG80" s="211"/>
      <c r="BH80" s="212">
        <v>0</v>
      </c>
      <c r="BI80" s="170">
        <v>0</v>
      </c>
      <c r="BJ80" s="170">
        <v>0</v>
      </c>
      <c r="BK80" s="170">
        <v>0</v>
      </c>
      <c r="BL80" s="170">
        <v>0</v>
      </c>
      <c r="BM80" s="170">
        <v>0</v>
      </c>
      <c r="BN80" s="170">
        <v>0</v>
      </c>
      <c r="BO80" s="170">
        <v>0</v>
      </c>
      <c r="BP80" s="170">
        <v>0</v>
      </c>
      <c r="BQ80" s="213">
        <f t="shared" si="151"/>
        <v>0</v>
      </c>
      <c r="BR80" s="330">
        <f>75000/555000</f>
        <v>0.13513513513513514</v>
      </c>
      <c r="BS80" s="48" t="s">
        <v>424</v>
      </c>
      <c r="BT80" s="341">
        <f>480000/555000</f>
        <v>0.86486486486486491</v>
      </c>
      <c r="BU80" s="216" t="s">
        <v>429</v>
      </c>
      <c r="BV80" s="212">
        <f>+CP80*0.5*550</f>
        <v>65450000</v>
      </c>
      <c r="BW80" s="170">
        <f>+CP80*0.5*550</f>
        <v>65450000</v>
      </c>
      <c r="BX80" s="170">
        <v>0</v>
      </c>
      <c r="BY80" s="170">
        <v>0</v>
      </c>
      <c r="BZ80" s="170">
        <v>0</v>
      </c>
      <c r="CA80" s="170">
        <v>0</v>
      </c>
      <c r="CB80" s="170">
        <v>0</v>
      </c>
      <c r="CC80" s="170">
        <v>0</v>
      </c>
      <c r="CD80" s="213">
        <v>0</v>
      </c>
      <c r="CE80" s="217">
        <f t="shared" si="175"/>
        <v>65450000</v>
      </c>
      <c r="CF80" s="170">
        <f t="shared" si="175"/>
        <v>65450000</v>
      </c>
      <c r="CG80" s="170">
        <f t="shared" si="175"/>
        <v>0</v>
      </c>
      <c r="CH80" s="170">
        <f t="shared" si="175"/>
        <v>0</v>
      </c>
      <c r="CI80" s="170">
        <f t="shared" si="175"/>
        <v>0</v>
      </c>
      <c r="CJ80" s="170">
        <f t="shared" si="175"/>
        <v>0</v>
      </c>
      <c r="CK80" s="170">
        <f t="shared" si="175"/>
        <v>0</v>
      </c>
      <c r="CL80" s="170">
        <f t="shared" si="175"/>
        <v>0</v>
      </c>
      <c r="CM80" s="170">
        <f t="shared" si="175"/>
        <v>0</v>
      </c>
      <c r="CN80" s="218">
        <f>SUM(CE80:CM80)</f>
        <v>130900000</v>
      </c>
      <c r="CO80" s="219"/>
      <c r="CP80" s="220">
        <f>48000+190000</f>
        <v>238000</v>
      </c>
      <c r="CQ80" s="220" t="s">
        <v>430</v>
      </c>
      <c r="CR80" s="210"/>
      <c r="CS80" s="210"/>
      <c r="CT80" s="210"/>
      <c r="CU80" s="210"/>
      <c r="CV80" s="221">
        <f>+CN80-CP80*550</f>
        <v>0</v>
      </c>
      <c r="CW80" s="222"/>
      <c r="CX80" s="248"/>
    </row>
    <row r="81" spans="1:102" ht="26.1" customHeight="1" x14ac:dyDescent="0.25">
      <c r="A81" s="204" t="s">
        <v>77</v>
      </c>
      <c r="B81" s="362"/>
      <c r="C81" s="450" t="s">
        <v>77</v>
      </c>
      <c r="D81" s="451" t="s">
        <v>756</v>
      </c>
      <c r="E81" s="48" t="s">
        <v>4</v>
      </c>
      <c r="F81" s="48" t="s">
        <v>404</v>
      </c>
      <c r="G81" s="48" t="s">
        <v>394</v>
      </c>
      <c r="H81" s="455" t="s">
        <v>128</v>
      </c>
      <c r="I81" s="547"/>
      <c r="J81" s="548" t="s">
        <v>229</v>
      </c>
      <c r="K81" s="206"/>
      <c r="L81" s="207"/>
      <c r="M81" s="208"/>
      <c r="O81" s="204" t="s">
        <v>77</v>
      </c>
      <c r="P81" s="47" t="s">
        <v>4</v>
      </c>
      <c r="Q81" s="48" t="s">
        <v>404</v>
      </c>
      <c r="R81" s="50"/>
      <c r="S81" s="50" t="s">
        <v>314</v>
      </c>
      <c r="T81" s="50"/>
      <c r="U81" s="50"/>
      <c r="V81" s="50"/>
      <c r="W81" s="50"/>
      <c r="X81" s="50" t="s">
        <v>307</v>
      </c>
      <c r="Y81" s="50"/>
      <c r="Z81" s="50"/>
      <c r="AA81" s="50"/>
      <c r="AB81" s="50"/>
      <c r="AC81" s="50"/>
      <c r="AD81" s="50" t="s">
        <v>314</v>
      </c>
      <c r="AE81" s="50"/>
      <c r="AF81" s="259"/>
      <c r="AG81" s="47" t="s">
        <v>308</v>
      </c>
      <c r="AH81" s="210" t="s">
        <v>319</v>
      </c>
      <c r="AI81" s="68" t="s">
        <v>387</v>
      </c>
      <c r="AJ81" s="342">
        <v>0.25</v>
      </c>
      <c r="AK81" s="342">
        <v>0.25</v>
      </c>
      <c r="AL81" s="342">
        <v>0.25</v>
      </c>
      <c r="AM81" s="342">
        <v>0.25</v>
      </c>
      <c r="AN81" s="342">
        <v>0</v>
      </c>
      <c r="AO81" s="342">
        <v>0</v>
      </c>
      <c r="AP81" s="342">
        <v>0</v>
      </c>
      <c r="AQ81" s="342">
        <v>0</v>
      </c>
      <c r="AR81" s="342">
        <v>0</v>
      </c>
      <c r="AS81" s="342">
        <v>1</v>
      </c>
      <c r="AT81" s="342">
        <v>2</v>
      </c>
      <c r="AU81" s="342">
        <v>1</v>
      </c>
      <c r="AV81" s="342">
        <v>1</v>
      </c>
      <c r="AW81" s="342">
        <v>0</v>
      </c>
      <c r="AX81" s="342">
        <v>1</v>
      </c>
      <c r="AY81" s="342">
        <v>0</v>
      </c>
      <c r="AZ81" s="342">
        <v>1</v>
      </c>
      <c r="BA81" s="342">
        <v>0</v>
      </c>
      <c r="BB81" s="342"/>
      <c r="BC81" s="343"/>
      <c r="BD81" s="206" t="s">
        <v>4</v>
      </c>
      <c r="BE81" s="68" t="s">
        <v>349</v>
      </c>
      <c r="BF81" s="48" t="s">
        <v>313</v>
      </c>
      <c r="BG81" s="269">
        <v>4200000</v>
      </c>
      <c r="BH81" s="212">
        <v>900000</v>
      </c>
      <c r="BI81" s="170">
        <v>2700000</v>
      </c>
      <c r="BJ81" s="170">
        <v>900000</v>
      </c>
      <c r="BK81" s="170">
        <v>900000</v>
      </c>
      <c r="BL81" s="170">
        <v>0</v>
      </c>
      <c r="BM81" s="170">
        <v>900000</v>
      </c>
      <c r="BN81" s="170">
        <v>0</v>
      </c>
      <c r="BO81" s="170">
        <v>900000</v>
      </c>
      <c r="BP81" s="170">
        <v>0</v>
      </c>
      <c r="BQ81" s="213">
        <f t="shared" si="151"/>
        <v>7200000</v>
      </c>
      <c r="BR81" s="270">
        <v>0.7</v>
      </c>
      <c r="BS81" s="48"/>
      <c r="BT81" s="215">
        <v>0.3</v>
      </c>
      <c r="BU81" s="243" t="s">
        <v>386</v>
      </c>
      <c r="BV81" s="212">
        <v>34200000</v>
      </c>
      <c r="BW81" s="170">
        <v>35600000</v>
      </c>
      <c r="BX81" s="170">
        <v>32450000</v>
      </c>
      <c r="BY81" s="170">
        <v>46600000</v>
      </c>
      <c r="BZ81" s="170">
        <v>0</v>
      </c>
      <c r="CA81" s="170">
        <v>11400000</v>
      </c>
      <c r="CB81" s="170" t="s">
        <v>320</v>
      </c>
      <c r="CC81" s="170">
        <v>11400000</v>
      </c>
      <c r="CD81" s="213">
        <v>11400000</v>
      </c>
      <c r="CE81" s="212">
        <f t="shared" si="175"/>
        <v>33300000</v>
      </c>
      <c r="CF81" s="170">
        <f t="shared" si="175"/>
        <v>32900000</v>
      </c>
      <c r="CG81" s="170">
        <f t="shared" si="175"/>
        <v>31550000</v>
      </c>
      <c r="CH81" s="170">
        <f t="shared" si="175"/>
        <v>45700000</v>
      </c>
      <c r="CI81" s="170">
        <f t="shared" si="175"/>
        <v>0</v>
      </c>
      <c r="CJ81" s="170">
        <f t="shared" si="175"/>
        <v>10500000</v>
      </c>
      <c r="CK81" s="170">
        <f t="shared" si="175"/>
        <v>11400000</v>
      </c>
      <c r="CL81" s="170">
        <f t="shared" si="175"/>
        <v>10500000</v>
      </c>
      <c r="CM81" s="170">
        <f>+CD81-BP81</f>
        <v>11400000</v>
      </c>
      <c r="CN81" s="213">
        <f t="shared" si="165"/>
        <v>187250000</v>
      </c>
      <c r="CO81" s="219"/>
      <c r="CP81" s="220"/>
      <c r="CQ81" s="220"/>
      <c r="CR81" s="210"/>
      <c r="CS81" s="210"/>
      <c r="CT81" s="210"/>
      <c r="CU81" s="210"/>
      <c r="CV81" s="221">
        <f>+CN81-CP81*550</f>
        <v>187250000</v>
      </c>
      <c r="CW81" s="222"/>
      <c r="CX81" s="246"/>
    </row>
    <row r="82" spans="1:102" ht="26.1" hidden="1" customHeight="1" x14ac:dyDescent="0.25">
      <c r="A82" s="143" t="s">
        <v>78</v>
      </c>
      <c r="B82" s="360"/>
      <c r="C82" s="447" t="s">
        <v>78</v>
      </c>
      <c r="D82" s="154" t="s">
        <v>737</v>
      </c>
      <c r="E82" s="448" t="s">
        <v>2</v>
      </c>
      <c r="F82" s="145"/>
      <c r="G82" s="60"/>
      <c r="H82" s="453"/>
      <c r="I82" s="549"/>
      <c r="J82" s="550"/>
      <c r="K82" s="147" t="s">
        <v>259</v>
      </c>
      <c r="L82" s="148"/>
      <c r="M82" s="149"/>
      <c r="O82" s="143" t="s">
        <v>78</v>
      </c>
      <c r="P82" s="150"/>
      <c r="Q82" s="145"/>
      <c r="R82" s="145"/>
      <c r="S82" s="145"/>
      <c r="T82" s="145"/>
      <c r="U82" s="145"/>
      <c r="V82" s="145"/>
      <c r="W82" s="145"/>
      <c r="X82" s="145"/>
      <c r="Y82" s="145"/>
      <c r="Z82" s="145"/>
      <c r="AA82" s="145"/>
      <c r="AB82" s="145"/>
      <c r="AC82" s="145"/>
      <c r="AD82" s="145"/>
      <c r="AE82" s="145"/>
      <c r="AF82" s="151"/>
      <c r="AG82" s="150"/>
      <c r="AH82" s="145"/>
      <c r="AI82" s="145"/>
      <c r="AJ82" s="152"/>
      <c r="AK82" s="152"/>
      <c r="AL82" s="152"/>
      <c r="AM82" s="152"/>
      <c r="AN82" s="152"/>
      <c r="AO82" s="152"/>
      <c r="AP82" s="152"/>
      <c r="AQ82" s="152"/>
      <c r="AR82" s="152"/>
      <c r="AS82" s="152"/>
      <c r="AT82" s="152"/>
      <c r="AU82" s="152"/>
      <c r="AV82" s="152"/>
      <c r="AW82" s="152"/>
      <c r="AX82" s="152"/>
      <c r="AY82" s="152"/>
      <c r="AZ82" s="152"/>
      <c r="BA82" s="152"/>
      <c r="BB82" s="152"/>
      <c r="BC82" s="254"/>
      <c r="BD82" s="150"/>
      <c r="BE82" s="154" t="s">
        <v>356</v>
      </c>
      <c r="BF82" s="155"/>
      <c r="BG82" s="156">
        <f>SUM(BG83:BG84)</f>
        <v>0</v>
      </c>
      <c r="BH82" s="157">
        <f>SUM(BH83:BH84)</f>
        <v>0</v>
      </c>
      <c r="BI82" s="152">
        <f>SUM(BI83:BI84)</f>
        <v>0</v>
      </c>
      <c r="BJ82" s="152">
        <f t="shared" ref="BJ82:BP82" si="176">SUM(BJ83:BJ84)</f>
        <v>0</v>
      </c>
      <c r="BK82" s="152">
        <f t="shared" si="176"/>
        <v>0</v>
      </c>
      <c r="BL82" s="152">
        <f t="shared" si="176"/>
        <v>0</v>
      </c>
      <c r="BM82" s="152">
        <f t="shared" si="176"/>
        <v>0</v>
      </c>
      <c r="BN82" s="152">
        <f t="shared" si="176"/>
        <v>0</v>
      </c>
      <c r="BO82" s="152">
        <f t="shared" si="176"/>
        <v>0</v>
      </c>
      <c r="BP82" s="152">
        <f t="shared" si="176"/>
        <v>0</v>
      </c>
      <c r="BQ82" s="156">
        <f t="shared" si="151"/>
        <v>0</v>
      </c>
      <c r="BR82" s="158"/>
      <c r="BS82" s="145"/>
      <c r="BT82" s="145"/>
      <c r="BU82" s="159"/>
      <c r="BV82" s="157">
        <f>SUM(BV83:BV84)</f>
        <v>6600000</v>
      </c>
      <c r="BW82" s="152">
        <f>SUM(BW83:BW84)</f>
        <v>6600000</v>
      </c>
      <c r="BX82" s="152">
        <f t="shared" ref="BX82:CC82" si="177">SUM(BX83:BX84)</f>
        <v>6600000</v>
      </c>
      <c r="BY82" s="152">
        <f t="shared" si="177"/>
        <v>6600000</v>
      </c>
      <c r="BZ82" s="152">
        <f t="shared" si="177"/>
        <v>6600000</v>
      </c>
      <c r="CA82" s="152">
        <f t="shared" si="177"/>
        <v>6600000</v>
      </c>
      <c r="CB82" s="152">
        <f t="shared" si="177"/>
        <v>6600000</v>
      </c>
      <c r="CC82" s="152">
        <f t="shared" si="177"/>
        <v>6600000</v>
      </c>
      <c r="CD82" s="156">
        <f>SUM(CD83:CD84)</f>
        <v>6600000</v>
      </c>
      <c r="CE82" s="157">
        <f>SUM(CE83:CE84)</f>
        <v>6600000</v>
      </c>
      <c r="CF82" s="152">
        <f>SUM(CF83:CF84)</f>
        <v>6600000</v>
      </c>
      <c r="CG82" s="152">
        <f t="shared" ref="CG82:CM82" si="178">SUM(CG83:CG84)</f>
        <v>6600000</v>
      </c>
      <c r="CH82" s="152">
        <f t="shared" si="178"/>
        <v>6600000</v>
      </c>
      <c r="CI82" s="152">
        <f t="shared" si="178"/>
        <v>6600000</v>
      </c>
      <c r="CJ82" s="152">
        <f t="shared" si="178"/>
        <v>6600000</v>
      </c>
      <c r="CK82" s="152">
        <f t="shared" si="178"/>
        <v>6600000</v>
      </c>
      <c r="CL82" s="152">
        <f t="shared" si="178"/>
        <v>6600000</v>
      </c>
      <c r="CM82" s="152">
        <f t="shared" si="178"/>
        <v>6600000</v>
      </c>
      <c r="CN82" s="156">
        <f t="shared" si="165"/>
        <v>59400000</v>
      </c>
      <c r="CO82" s="158"/>
      <c r="CP82" s="160">
        <f>SUM(CP83:CP84)</f>
        <v>84000</v>
      </c>
      <c r="CQ82" s="145"/>
      <c r="CR82" s="145"/>
      <c r="CS82" s="145"/>
      <c r="CT82" s="145"/>
      <c r="CU82" s="145"/>
      <c r="CV82" s="161">
        <f>SUM(CV83:CV84)</f>
        <v>13200000</v>
      </c>
      <c r="CW82" s="151"/>
      <c r="CX82" s="162"/>
    </row>
    <row r="83" spans="1:102" ht="33.75" customHeight="1" x14ac:dyDescent="0.25">
      <c r="A83" s="204" t="s">
        <v>79</v>
      </c>
      <c r="B83" s="362"/>
      <c r="C83" s="450" t="s">
        <v>79</v>
      </c>
      <c r="D83" s="451" t="s">
        <v>738</v>
      </c>
      <c r="E83" s="48" t="s">
        <v>2</v>
      </c>
      <c r="F83" s="48" t="s">
        <v>403</v>
      </c>
      <c r="G83" s="48" t="s">
        <v>393</v>
      </c>
      <c r="H83" s="94" t="s">
        <v>129</v>
      </c>
      <c r="I83" s="547"/>
      <c r="J83" s="548" t="s">
        <v>229</v>
      </c>
      <c r="K83" s="206"/>
      <c r="L83" s="207"/>
      <c r="M83" s="208"/>
      <c r="O83" s="204" t="s">
        <v>79</v>
      </c>
      <c r="P83" s="47" t="s">
        <v>3</v>
      </c>
      <c r="Q83" s="48" t="s">
        <v>403</v>
      </c>
      <c r="R83" s="48" t="s">
        <v>314</v>
      </c>
      <c r="S83" s="48" t="s">
        <v>314</v>
      </c>
      <c r="T83" s="48" t="s">
        <v>314</v>
      </c>
      <c r="U83" s="48" t="s">
        <v>307</v>
      </c>
      <c r="V83" s="48" t="s">
        <v>314</v>
      </c>
      <c r="W83" s="48"/>
      <c r="X83" s="48" t="s">
        <v>314</v>
      </c>
      <c r="Y83" s="48"/>
      <c r="Z83" s="48"/>
      <c r="AA83" s="48"/>
      <c r="AB83" s="48"/>
      <c r="AC83" s="48" t="s">
        <v>314</v>
      </c>
      <c r="AD83" s="48"/>
      <c r="AE83" s="48"/>
      <c r="AF83" s="209"/>
      <c r="AG83" s="47" t="s">
        <v>315</v>
      </c>
      <c r="AH83" s="210" t="s">
        <v>342</v>
      </c>
      <c r="AI83" s="68" t="s">
        <v>468</v>
      </c>
      <c r="AJ83" s="170">
        <v>0</v>
      </c>
      <c r="AK83" s="170">
        <v>0</v>
      </c>
      <c r="AL83" s="170">
        <v>0</v>
      </c>
      <c r="AM83" s="170">
        <v>0</v>
      </c>
      <c r="AN83" s="170">
        <v>0</v>
      </c>
      <c r="AO83" s="170">
        <v>0</v>
      </c>
      <c r="AP83" s="170">
        <v>0</v>
      </c>
      <c r="AQ83" s="170">
        <v>0</v>
      </c>
      <c r="AR83" s="170">
        <v>0</v>
      </c>
      <c r="AS83" s="170">
        <v>1</v>
      </c>
      <c r="AT83" s="170">
        <v>1</v>
      </c>
      <c r="AU83" s="170">
        <v>1</v>
      </c>
      <c r="AV83" s="170">
        <v>1</v>
      </c>
      <c r="AW83" s="170">
        <v>1</v>
      </c>
      <c r="AX83" s="170">
        <v>1</v>
      </c>
      <c r="AY83" s="170">
        <v>1</v>
      </c>
      <c r="AZ83" s="170">
        <v>1</v>
      </c>
      <c r="BA83" s="170">
        <v>1</v>
      </c>
      <c r="BB83" s="170"/>
      <c r="BC83" s="260"/>
      <c r="BD83" s="206" t="s">
        <v>330</v>
      </c>
      <c r="BE83" s="257" t="s">
        <v>321</v>
      </c>
      <c r="BF83" s="48" t="s">
        <v>313</v>
      </c>
      <c r="BG83" s="241"/>
      <c r="BH83" s="212">
        <v>0</v>
      </c>
      <c r="BI83" s="170">
        <v>0</v>
      </c>
      <c r="BJ83" s="170">
        <v>0</v>
      </c>
      <c r="BK83" s="170">
        <v>0</v>
      </c>
      <c r="BL83" s="170">
        <v>0</v>
      </c>
      <c r="BM83" s="170">
        <v>0</v>
      </c>
      <c r="BN83" s="170">
        <v>0</v>
      </c>
      <c r="BO83" s="170">
        <v>0</v>
      </c>
      <c r="BP83" s="170">
        <v>0</v>
      </c>
      <c r="BQ83" s="213">
        <f t="shared" ref="BQ83:BQ91" si="179">SUM(BH83:BP83)</f>
        <v>0</v>
      </c>
      <c r="BR83" s="245"/>
      <c r="BS83" s="48"/>
      <c r="BT83" s="48"/>
      <c r="BU83" s="243"/>
      <c r="BV83" s="212">
        <f>500*12*550</f>
        <v>3300000</v>
      </c>
      <c r="BW83" s="170">
        <f>500*12*550</f>
        <v>3300000</v>
      </c>
      <c r="BX83" s="170">
        <f t="shared" ref="BX83:CC83" si="180">500*12*550</f>
        <v>3300000</v>
      </c>
      <c r="BY83" s="170">
        <f t="shared" si="180"/>
        <v>3300000</v>
      </c>
      <c r="BZ83" s="170">
        <f t="shared" si="180"/>
        <v>3300000</v>
      </c>
      <c r="CA83" s="170">
        <f t="shared" si="180"/>
        <v>3300000</v>
      </c>
      <c r="CB83" s="170">
        <f t="shared" si="180"/>
        <v>3300000</v>
      </c>
      <c r="CC83" s="170">
        <f t="shared" si="180"/>
        <v>3300000</v>
      </c>
      <c r="CD83" s="213">
        <f>500*12*550</f>
        <v>3300000</v>
      </c>
      <c r="CE83" s="217">
        <f>+BV83-BH83</f>
        <v>3300000</v>
      </c>
      <c r="CF83" s="170">
        <f>+BW83-BI83</f>
        <v>3300000</v>
      </c>
      <c r="CG83" s="170">
        <f t="shared" ref="CG83:CM84" si="181">+BX83-BJ83</f>
        <v>3300000</v>
      </c>
      <c r="CH83" s="170">
        <f t="shared" si="181"/>
        <v>3300000</v>
      </c>
      <c r="CI83" s="170">
        <f t="shared" si="181"/>
        <v>3300000</v>
      </c>
      <c r="CJ83" s="170">
        <f t="shared" si="181"/>
        <v>3300000</v>
      </c>
      <c r="CK83" s="170">
        <f t="shared" si="181"/>
        <v>3300000</v>
      </c>
      <c r="CL83" s="170">
        <f t="shared" si="181"/>
        <v>3300000</v>
      </c>
      <c r="CM83" s="170">
        <f t="shared" si="181"/>
        <v>3300000</v>
      </c>
      <c r="CN83" s="218">
        <f t="shared" ref="CN83:CN98" si="182">SUM(CE83:CM83)</f>
        <v>29700000</v>
      </c>
      <c r="CO83" s="219"/>
      <c r="CP83" s="220">
        <f>(24000+16000+12000)</f>
        <v>52000</v>
      </c>
      <c r="CQ83" s="220"/>
      <c r="CR83" s="210"/>
      <c r="CS83" s="210"/>
      <c r="CT83" s="210"/>
      <c r="CU83" s="210"/>
      <c r="CV83" s="221">
        <f>+CN83-CP83*550</f>
        <v>1100000</v>
      </c>
      <c r="CW83" s="222"/>
      <c r="CX83" s="246"/>
    </row>
    <row r="84" spans="1:102" ht="26.1" customHeight="1" x14ac:dyDescent="0.25">
      <c r="A84" s="204" t="s">
        <v>359</v>
      </c>
      <c r="B84" s="362"/>
      <c r="C84" s="450" t="s">
        <v>80</v>
      </c>
      <c r="D84" s="451" t="s">
        <v>739</v>
      </c>
      <c r="E84" s="48" t="s">
        <v>2</v>
      </c>
      <c r="F84" s="48" t="s">
        <v>403</v>
      </c>
      <c r="G84" s="48" t="s">
        <v>393</v>
      </c>
      <c r="H84" s="94" t="s">
        <v>130</v>
      </c>
      <c r="I84" s="547"/>
      <c r="J84" s="548" t="s">
        <v>229</v>
      </c>
      <c r="K84" s="206"/>
      <c r="L84" s="207"/>
      <c r="M84" s="208"/>
      <c r="O84" s="204" t="s">
        <v>80</v>
      </c>
      <c r="P84" s="47" t="s">
        <v>3</v>
      </c>
      <c r="Q84" s="48" t="s">
        <v>403</v>
      </c>
      <c r="R84" s="48" t="s">
        <v>314</v>
      </c>
      <c r="S84" s="48" t="s">
        <v>314</v>
      </c>
      <c r="T84" s="48"/>
      <c r="U84" s="48" t="s">
        <v>307</v>
      </c>
      <c r="V84" s="48"/>
      <c r="W84" s="48"/>
      <c r="X84" s="48" t="s">
        <v>314</v>
      </c>
      <c r="Y84" s="48"/>
      <c r="Z84" s="48"/>
      <c r="AA84" s="48"/>
      <c r="AB84" s="48"/>
      <c r="AC84" s="48"/>
      <c r="AD84" s="48"/>
      <c r="AE84" s="48" t="s">
        <v>314</v>
      </c>
      <c r="AF84" s="209"/>
      <c r="AG84" s="47" t="s">
        <v>315</v>
      </c>
      <c r="AH84" s="210" t="s">
        <v>319</v>
      </c>
      <c r="AI84" s="68" t="s">
        <v>343</v>
      </c>
      <c r="AJ84" s="170">
        <v>0</v>
      </c>
      <c r="AK84" s="170">
        <v>0</v>
      </c>
      <c r="AL84" s="170">
        <v>0</v>
      </c>
      <c r="AM84" s="170">
        <v>0</v>
      </c>
      <c r="AN84" s="170">
        <v>0</v>
      </c>
      <c r="AO84" s="170">
        <v>0</v>
      </c>
      <c r="AP84" s="170">
        <v>0</v>
      </c>
      <c r="AQ84" s="170">
        <v>0</v>
      </c>
      <c r="AR84" s="170">
        <v>0</v>
      </c>
      <c r="AS84" s="170">
        <v>1</v>
      </c>
      <c r="AT84" s="170">
        <v>1</v>
      </c>
      <c r="AU84" s="170">
        <v>1</v>
      </c>
      <c r="AV84" s="170">
        <v>1</v>
      </c>
      <c r="AW84" s="170">
        <v>1</v>
      </c>
      <c r="AX84" s="170">
        <v>1</v>
      </c>
      <c r="AY84" s="170">
        <v>1</v>
      </c>
      <c r="AZ84" s="170">
        <v>1</v>
      </c>
      <c r="BA84" s="170">
        <v>1</v>
      </c>
      <c r="BB84" s="170"/>
      <c r="BC84" s="260"/>
      <c r="BD84" s="206" t="s">
        <v>81</v>
      </c>
      <c r="BE84" s="68" t="s">
        <v>349</v>
      </c>
      <c r="BF84" s="48" t="s">
        <v>313</v>
      </c>
      <c r="BG84" s="241"/>
      <c r="BH84" s="212">
        <v>0</v>
      </c>
      <c r="BI84" s="170">
        <v>0</v>
      </c>
      <c r="BJ84" s="170">
        <v>0</v>
      </c>
      <c r="BK84" s="170">
        <v>0</v>
      </c>
      <c r="BL84" s="170">
        <v>0</v>
      </c>
      <c r="BM84" s="170">
        <v>0</v>
      </c>
      <c r="BN84" s="170">
        <v>0</v>
      </c>
      <c r="BO84" s="170">
        <v>0</v>
      </c>
      <c r="BP84" s="170">
        <v>0</v>
      </c>
      <c r="BQ84" s="213">
        <f t="shared" si="179"/>
        <v>0</v>
      </c>
      <c r="BR84" s="245"/>
      <c r="BS84" s="48"/>
      <c r="BT84" s="48"/>
      <c r="BU84" s="243"/>
      <c r="BV84" s="212">
        <f>500*550*12</f>
        <v>3300000</v>
      </c>
      <c r="BW84" s="170">
        <f>500*550*12</f>
        <v>3300000</v>
      </c>
      <c r="BX84" s="170">
        <f t="shared" ref="BX84:CD84" si="183">500*550*12</f>
        <v>3300000</v>
      </c>
      <c r="BY84" s="170">
        <f t="shared" si="183"/>
        <v>3300000</v>
      </c>
      <c r="BZ84" s="170">
        <f t="shared" si="183"/>
        <v>3300000</v>
      </c>
      <c r="CA84" s="170">
        <f t="shared" si="183"/>
        <v>3300000</v>
      </c>
      <c r="CB84" s="170">
        <f t="shared" si="183"/>
        <v>3300000</v>
      </c>
      <c r="CC84" s="170">
        <f t="shared" si="183"/>
        <v>3300000</v>
      </c>
      <c r="CD84" s="213">
        <f t="shared" si="183"/>
        <v>3300000</v>
      </c>
      <c r="CE84" s="217">
        <f>+BV84-BH84</f>
        <v>3300000</v>
      </c>
      <c r="CF84" s="170">
        <f>+BW84-BI84</f>
        <v>3300000</v>
      </c>
      <c r="CG84" s="170">
        <f t="shared" si="181"/>
        <v>3300000</v>
      </c>
      <c r="CH84" s="170">
        <f t="shared" si="181"/>
        <v>3300000</v>
      </c>
      <c r="CI84" s="170">
        <f t="shared" si="181"/>
        <v>3300000</v>
      </c>
      <c r="CJ84" s="170">
        <f t="shared" si="181"/>
        <v>3300000</v>
      </c>
      <c r="CK84" s="170">
        <f t="shared" si="181"/>
        <v>3300000</v>
      </c>
      <c r="CL84" s="170">
        <f t="shared" si="181"/>
        <v>3300000</v>
      </c>
      <c r="CM84" s="170">
        <f t="shared" si="181"/>
        <v>3300000</v>
      </c>
      <c r="CN84" s="218">
        <f t="shared" si="182"/>
        <v>29700000</v>
      </c>
      <c r="CO84" s="219"/>
      <c r="CP84" s="220">
        <f>32000</f>
        <v>32000</v>
      </c>
      <c r="CQ84" s="220" t="s">
        <v>469</v>
      </c>
      <c r="CR84" s="210"/>
      <c r="CS84" s="210"/>
      <c r="CT84" s="210"/>
      <c r="CU84" s="210"/>
      <c r="CV84" s="221">
        <f>+CN84-CP84*550</f>
        <v>12100000</v>
      </c>
      <c r="CW84" s="222"/>
      <c r="CX84" s="246"/>
    </row>
    <row r="85" spans="1:102" ht="26.1" hidden="1" customHeight="1" x14ac:dyDescent="0.25">
      <c r="A85" s="143" t="s">
        <v>82</v>
      </c>
      <c r="B85" s="360"/>
      <c r="C85" s="447" t="s">
        <v>82</v>
      </c>
      <c r="D85" s="154" t="s">
        <v>740</v>
      </c>
      <c r="E85" s="448" t="s">
        <v>2</v>
      </c>
      <c r="F85" s="145"/>
      <c r="G85" s="60"/>
      <c r="H85" s="453"/>
      <c r="I85" s="549"/>
      <c r="J85" s="550"/>
      <c r="K85" s="147" t="s">
        <v>259</v>
      </c>
      <c r="L85" s="148"/>
      <c r="M85" s="149"/>
      <c r="O85" s="143" t="s">
        <v>82</v>
      </c>
      <c r="P85" s="150"/>
      <c r="Q85" s="145"/>
      <c r="R85" s="145"/>
      <c r="S85" s="145"/>
      <c r="T85" s="145"/>
      <c r="U85" s="145"/>
      <c r="V85" s="145"/>
      <c r="W85" s="145"/>
      <c r="X85" s="145"/>
      <c r="Y85" s="145"/>
      <c r="Z85" s="145"/>
      <c r="AA85" s="145"/>
      <c r="AB85" s="145"/>
      <c r="AC85" s="145"/>
      <c r="AD85" s="145"/>
      <c r="AE85" s="145"/>
      <c r="AF85" s="151"/>
      <c r="AG85" s="150"/>
      <c r="AH85" s="145"/>
      <c r="AI85" s="145"/>
      <c r="AJ85" s="152"/>
      <c r="AK85" s="152"/>
      <c r="AL85" s="152"/>
      <c r="AM85" s="152"/>
      <c r="AN85" s="152"/>
      <c r="AO85" s="152"/>
      <c r="AP85" s="152"/>
      <c r="AQ85" s="152"/>
      <c r="AR85" s="152"/>
      <c r="AS85" s="152"/>
      <c r="AT85" s="152"/>
      <c r="AU85" s="152"/>
      <c r="AV85" s="152"/>
      <c r="AW85" s="152"/>
      <c r="AX85" s="152"/>
      <c r="AY85" s="152"/>
      <c r="AZ85" s="152"/>
      <c r="BA85" s="152"/>
      <c r="BB85" s="152"/>
      <c r="BC85" s="254"/>
      <c r="BD85" s="150"/>
      <c r="BE85" s="154" t="s">
        <v>357</v>
      </c>
      <c r="BF85" s="155"/>
      <c r="BG85" s="156">
        <f>SUM(BG86)</f>
        <v>0</v>
      </c>
      <c r="BH85" s="157">
        <f>SUM(BH86)</f>
        <v>0</v>
      </c>
      <c r="BI85" s="152">
        <f>SUM(BI86)</f>
        <v>0</v>
      </c>
      <c r="BJ85" s="152">
        <f t="shared" ref="BJ85:BP85" si="184">SUM(BJ86)</f>
        <v>0</v>
      </c>
      <c r="BK85" s="152">
        <f t="shared" si="184"/>
        <v>0</v>
      </c>
      <c r="BL85" s="152">
        <f t="shared" si="184"/>
        <v>0</v>
      </c>
      <c r="BM85" s="152">
        <f t="shared" si="184"/>
        <v>0</v>
      </c>
      <c r="BN85" s="152">
        <f t="shared" si="184"/>
        <v>0</v>
      </c>
      <c r="BO85" s="152">
        <f t="shared" si="184"/>
        <v>0</v>
      </c>
      <c r="BP85" s="152">
        <f t="shared" si="184"/>
        <v>0</v>
      </c>
      <c r="BQ85" s="156">
        <f t="shared" si="179"/>
        <v>0</v>
      </c>
      <c r="BR85" s="158"/>
      <c r="BS85" s="145"/>
      <c r="BT85" s="145"/>
      <c r="BU85" s="159"/>
      <c r="BV85" s="157">
        <f>SUM(BV86)</f>
        <v>24750000</v>
      </c>
      <c r="BW85" s="152">
        <f>SUM(BW86)</f>
        <v>0</v>
      </c>
      <c r="BX85" s="152">
        <f t="shared" ref="BX85:CC85" si="185">SUM(BX86)</f>
        <v>0</v>
      </c>
      <c r="BY85" s="152">
        <f t="shared" si="185"/>
        <v>0</v>
      </c>
      <c r="BZ85" s="152">
        <f t="shared" si="185"/>
        <v>0</v>
      </c>
      <c r="CA85" s="152">
        <f t="shared" si="185"/>
        <v>0</v>
      </c>
      <c r="CB85" s="152">
        <f t="shared" si="185"/>
        <v>0</v>
      </c>
      <c r="CC85" s="152">
        <f t="shared" si="185"/>
        <v>0</v>
      </c>
      <c r="CD85" s="156">
        <f>SUM(CD86)</f>
        <v>0</v>
      </c>
      <c r="CE85" s="157">
        <f>SUM(CE86)</f>
        <v>24750000</v>
      </c>
      <c r="CF85" s="152">
        <f>SUM(CF86)</f>
        <v>0</v>
      </c>
      <c r="CG85" s="152">
        <f t="shared" ref="CG85:CM85" si="186">SUM(CG86)</f>
        <v>0</v>
      </c>
      <c r="CH85" s="152">
        <f t="shared" si="186"/>
        <v>0</v>
      </c>
      <c r="CI85" s="152">
        <f t="shared" si="186"/>
        <v>0</v>
      </c>
      <c r="CJ85" s="152">
        <f t="shared" si="186"/>
        <v>0</v>
      </c>
      <c r="CK85" s="152">
        <f t="shared" si="186"/>
        <v>0</v>
      </c>
      <c r="CL85" s="152">
        <f t="shared" si="186"/>
        <v>0</v>
      </c>
      <c r="CM85" s="152">
        <f t="shared" si="186"/>
        <v>0</v>
      </c>
      <c r="CN85" s="156">
        <f t="shared" si="182"/>
        <v>24750000</v>
      </c>
      <c r="CO85" s="158"/>
      <c r="CP85" s="160">
        <f>SUM(CP86)</f>
        <v>45000</v>
      </c>
      <c r="CQ85" s="145"/>
      <c r="CR85" s="145"/>
      <c r="CS85" s="145"/>
      <c r="CT85" s="145"/>
      <c r="CU85" s="145"/>
      <c r="CV85" s="161">
        <f>SUM(CV86)</f>
        <v>0</v>
      </c>
      <c r="CW85" s="151"/>
      <c r="CX85" s="162"/>
    </row>
    <row r="86" spans="1:102" ht="26.1" customHeight="1" x14ac:dyDescent="0.25">
      <c r="A86" s="204" t="s">
        <v>83</v>
      </c>
      <c r="B86" s="362"/>
      <c r="C86" s="450" t="s">
        <v>83</v>
      </c>
      <c r="D86" s="451" t="s">
        <v>741</v>
      </c>
      <c r="E86" s="48" t="s">
        <v>2</v>
      </c>
      <c r="F86" s="48" t="s">
        <v>403</v>
      </c>
      <c r="G86" s="48" t="s">
        <v>393</v>
      </c>
      <c r="H86" s="94" t="s">
        <v>131</v>
      </c>
      <c r="I86" s="547"/>
      <c r="J86" s="548" t="s">
        <v>230</v>
      </c>
      <c r="K86" s="206"/>
      <c r="L86" s="207"/>
      <c r="M86" s="208"/>
      <c r="O86" s="204" t="s">
        <v>83</v>
      </c>
      <c r="P86" s="47" t="s">
        <v>3</v>
      </c>
      <c r="Q86" s="48" t="s">
        <v>403</v>
      </c>
      <c r="R86" s="48" t="s">
        <v>314</v>
      </c>
      <c r="S86" s="48" t="s">
        <v>314</v>
      </c>
      <c r="T86" s="48" t="s">
        <v>314</v>
      </c>
      <c r="U86" s="48" t="s">
        <v>307</v>
      </c>
      <c r="V86" s="48"/>
      <c r="W86" s="48"/>
      <c r="X86" s="48" t="s">
        <v>314</v>
      </c>
      <c r="Y86" s="48"/>
      <c r="Z86" s="48"/>
      <c r="AA86" s="48"/>
      <c r="AB86" s="48"/>
      <c r="AC86" s="48"/>
      <c r="AD86" s="48"/>
      <c r="AE86" s="48"/>
      <c r="AF86" s="209"/>
      <c r="AG86" s="47" t="s">
        <v>315</v>
      </c>
      <c r="AH86" s="210" t="s">
        <v>319</v>
      </c>
      <c r="AI86" s="68" t="s">
        <v>344</v>
      </c>
      <c r="AJ86" s="170">
        <v>0</v>
      </c>
      <c r="AK86" s="170">
        <v>0</v>
      </c>
      <c r="AL86" s="170">
        <v>0</v>
      </c>
      <c r="AM86" s="170">
        <v>0</v>
      </c>
      <c r="AN86" s="170">
        <v>0</v>
      </c>
      <c r="AO86" s="170">
        <v>0</v>
      </c>
      <c r="AP86" s="170">
        <v>0</v>
      </c>
      <c r="AQ86" s="170">
        <v>0</v>
      </c>
      <c r="AR86" s="170">
        <v>0</v>
      </c>
      <c r="AS86" s="170">
        <v>1</v>
      </c>
      <c r="AT86" s="170">
        <v>0</v>
      </c>
      <c r="AU86" s="170">
        <v>0</v>
      </c>
      <c r="AV86" s="170">
        <v>0</v>
      </c>
      <c r="AW86" s="170">
        <v>0</v>
      </c>
      <c r="AX86" s="170">
        <v>0</v>
      </c>
      <c r="AY86" s="170">
        <v>0</v>
      </c>
      <c r="AZ86" s="170">
        <v>0</v>
      </c>
      <c r="BA86" s="170">
        <v>0</v>
      </c>
      <c r="BB86" s="170"/>
      <c r="BC86" s="260"/>
      <c r="BD86" s="206" t="s">
        <v>311</v>
      </c>
      <c r="BE86" s="68" t="s">
        <v>349</v>
      </c>
      <c r="BF86" s="48" t="s">
        <v>313</v>
      </c>
      <c r="BG86" s="241"/>
      <c r="BH86" s="212">
        <v>0</v>
      </c>
      <c r="BI86" s="170">
        <v>0</v>
      </c>
      <c r="BJ86" s="170">
        <v>0</v>
      </c>
      <c r="BK86" s="170">
        <v>0</v>
      </c>
      <c r="BL86" s="170">
        <v>0</v>
      </c>
      <c r="BM86" s="170">
        <v>0</v>
      </c>
      <c r="BN86" s="170">
        <v>0</v>
      </c>
      <c r="BO86" s="170">
        <v>0</v>
      </c>
      <c r="BP86" s="170">
        <v>0</v>
      </c>
      <c r="BQ86" s="213">
        <f t="shared" si="179"/>
        <v>0</v>
      </c>
      <c r="BR86" s="245"/>
      <c r="BS86" s="48"/>
      <c r="BT86" s="48"/>
      <c r="BU86" s="243"/>
      <c r="BV86" s="212">
        <f>45000*550</f>
        <v>24750000</v>
      </c>
      <c r="BW86" s="170">
        <v>0</v>
      </c>
      <c r="BX86" s="170">
        <v>0</v>
      </c>
      <c r="BY86" s="170">
        <v>0</v>
      </c>
      <c r="BZ86" s="170">
        <v>0</v>
      </c>
      <c r="CA86" s="170">
        <v>0</v>
      </c>
      <c r="CB86" s="170">
        <v>0</v>
      </c>
      <c r="CC86" s="170">
        <v>0</v>
      </c>
      <c r="CD86" s="213">
        <v>0</v>
      </c>
      <c r="CE86" s="217">
        <f>+BV86-BH86</f>
        <v>24750000</v>
      </c>
      <c r="CF86" s="170">
        <f>+BW86-BI86</f>
        <v>0</v>
      </c>
      <c r="CG86" s="170">
        <f t="shared" ref="CG86:CM86" si="187">+BX86-BJ86</f>
        <v>0</v>
      </c>
      <c r="CH86" s="170">
        <f t="shared" si="187"/>
        <v>0</v>
      </c>
      <c r="CI86" s="170">
        <f t="shared" si="187"/>
        <v>0</v>
      </c>
      <c r="CJ86" s="170">
        <f t="shared" si="187"/>
        <v>0</v>
      </c>
      <c r="CK86" s="170">
        <f t="shared" si="187"/>
        <v>0</v>
      </c>
      <c r="CL86" s="170">
        <f t="shared" si="187"/>
        <v>0</v>
      </c>
      <c r="CM86" s="170">
        <f t="shared" si="187"/>
        <v>0</v>
      </c>
      <c r="CN86" s="218">
        <f t="shared" si="182"/>
        <v>24750000</v>
      </c>
      <c r="CO86" s="219"/>
      <c r="CP86" s="220">
        <f>35000+10000</f>
        <v>45000</v>
      </c>
      <c r="CQ86" s="220" t="s">
        <v>345</v>
      </c>
      <c r="CR86" s="210"/>
      <c r="CS86" s="210"/>
      <c r="CT86" s="210"/>
      <c r="CU86" s="210"/>
      <c r="CV86" s="221">
        <f>+CN86-CP86*550</f>
        <v>0</v>
      </c>
      <c r="CW86" s="222"/>
      <c r="CX86" s="246"/>
    </row>
    <row r="87" spans="1:102" ht="26.1" hidden="1" customHeight="1" x14ac:dyDescent="0.25">
      <c r="A87" s="143" t="s">
        <v>84</v>
      </c>
      <c r="B87" s="360"/>
      <c r="C87" s="447" t="s">
        <v>84</v>
      </c>
      <c r="D87" s="154" t="s">
        <v>742</v>
      </c>
      <c r="E87" s="448" t="s">
        <v>490</v>
      </c>
      <c r="F87" s="145"/>
      <c r="G87" s="60"/>
      <c r="H87" s="453"/>
      <c r="I87" s="549"/>
      <c r="J87" s="550"/>
      <c r="K87" s="147" t="s">
        <v>259</v>
      </c>
      <c r="L87" s="148"/>
      <c r="M87" s="149"/>
      <c r="O87" s="143" t="s">
        <v>84</v>
      </c>
      <c r="P87" s="150"/>
      <c r="Q87" s="145"/>
      <c r="R87" s="145"/>
      <c r="S87" s="145"/>
      <c r="T87" s="145"/>
      <c r="U87" s="145"/>
      <c r="V87" s="145"/>
      <c r="W87" s="145"/>
      <c r="X87" s="145"/>
      <c r="Y87" s="145"/>
      <c r="Z87" s="145"/>
      <c r="AA87" s="145"/>
      <c r="AB87" s="145"/>
      <c r="AC87" s="145"/>
      <c r="AD87" s="145"/>
      <c r="AE87" s="145"/>
      <c r="AF87" s="151"/>
      <c r="AG87" s="150"/>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51"/>
      <c r="BD87" s="150"/>
      <c r="BE87" s="154" t="s">
        <v>356</v>
      </c>
      <c r="BF87" s="155"/>
      <c r="BG87" s="156">
        <f>SUM(BG88:BG90)</f>
        <v>22000000</v>
      </c>
      <c r="BH87" s="157">
        <f>SUM(BH88:BH90)</f>
        <v>22000000</v>
      </c>
      <c r="BI87" s="152">
        <f>SUM(BI88:BI90)</f>
        <v>22000000</v>
      </c>
      <c r="BJ87" s="152">
        <f t="shared" ref="BJ87:BP87" si="188">SUM(BJ88:BJ90)</f>
        <v>22000000</v>
      </c>
      <c r="BK87" s="152">
        <f t="shared" si="188"/>
        <v>22000000</v>
      </c>
      <c r="BL87" s="152">
        <f t="shared" si="188"/>
        <v>22000000</v>
      </c>
      <c r="BM87" s="152">
        <f t="shared" si="188"/>
        <v>22000000</v>
      </c>
      <c r="BN87" s="152">
        <f t="shared" si="188"/>
        <v>22000000</v>
      </c>
      <c r="BO87" s="152">
        <f t="shared" si="188"/>
        <v>22000000</v>
      </c>
      <c r="BP87" s="152">
        <f t="shared" si="188"/>
        <v>22000000</v>
      </c>
      <c r="BQ87" s="156">
        <f t="shared" si="179"/>
        <v>198000000</v>
      </c>
      <c r="BR87" s="158"/>
      <c r="BS87" s="145"/>
      <c r="BT87" s="145"/>
      <c r="BU87" s="159"/>
      <c r="BV87" s="157">
        <f>SUM(BV88:BV90)</f>
        <v>41500000</v>
      </c>
      <c r="BW87" s="152">
        <f>SUM(BW88:BW90)</f>
        <v>53500000</v>
      </c>
      <c r="BX87" s="152">
        <f t="shared" ref="BX87:CC87" si="189">SUM(BX88:BX90)</f>
        <v>55000000</v>
      </c>
      <c r="BY87" s="152">
        <f t="shared" si="189"/>
        <v>54500000</v>
      </c>
      <c r="BZ87" s="152">
        <f t="shared" si="189"/>
        <v>24500000</v>
      </c>
      <c r="CA87" s="152">
        <f t="shared" si="189"/>
        <v>24500000</v>
      </c>
      <c r="CB87" s="152">
        <f t="shared" si="189"/>
        <v>24500000</v>
      </c>
      <c r="CC87" s="152">
        <f t="shared" si="189"/>
        <v>54500000</v>
      </c>
      <c r="CD87" s="156">
        <f>SUM(CD88:CD90)</f>
        <v>24500000</v>
      </c>
      <c r="CE87" s="157">
        <f>SUM(CE88:CE90)</f>
        <v>19500000</v>
      </c>
      <c r="CF87" s="152">
        <f>SUM(CF88:CF90)</f>
        <v>31500000</v>
      </c>
      <c r="CG87" s="152">
        <f t="shared" ref="CG87:CL87" si="190">SUM(CG88:CG90)</f>
        <v>33000000</v>
      </c>
      <c r="CH87" s="152">
        <f t="shared" si="190"/>
        <v>32500000</v>
      </c>
      <c r="CI87" s="152">
        <f t="shared" si="190"/>
        <v>2500000</v>
      </c>
      <c r="CJ87" s="152">
        <f t="shared" si="190"/>
        <v>2500000</v>
      </c>
      <c r="CK87" s="152">
        <f t="shared" si="190"/>
        <v>2500000</v>
      </c>
      <c r="CL87" s="152">
        <f t="shared" si="190"/>
        <v>32500000</v>
      </c>
      <c r="CM87" s="152">
        <f>SUM(CM88:CM90)</f>
        <v>2500000</v>
      </c>
      <c r="CN87" s="156">
        <f t="shared" si="182"/>
        <v>159000000</v>
      </c>
      <c r="CO87" s="158"/>
      <c r="CP87" s="160">
        <f>SUM(CP88:CP90)</f>
        <v>270000</v>
      </c>
      <c r="CQ87" s="145"/>
      <c r="CR87" s="145"/>
      <c r="CS87" s="145"/>
      <c r="CT87" s="145"/>
      <c r="CU87" s="145"/>
      <c r="CV87" s="152">
        <f>SUM(CV88:CV90)</f>
        <v>10500000</v>
      </c>
      <c r="CW87" s="151"/>
      <c r="CX87" s="162"/>
    </row>
    <row r="88" spans="1:102" ht="26.1" customHeight="1" x14ac:dyDescent="0.25">
      <c r="A88" s="204" t="s">
        <v>85</v>
      </c>
      <c r="B88" s="362"/>
      <c r="C88" s="450" t="s">
        <v>470</v>
      </c>
      <c r="D88" s="451" t="s">
        <v>743</v>
      </c>
      <c r="E88" s="48" t="s">
        <v>4</v>
      </c>
      <c r="F88" s="48" t="s">
        <v>404</v>
      </c>
      <c r="G88" s="48" t="s">
        <v>394</v>
      </c>
      <c r="H88" s="94" t="s">
        <v>132</v>
      </c>
      <c r="I88" s="547" t="s">
        <v>245</v>
      </c>
      <c r="J88" s="548" t="s">
        <v>230</v>
      </c>
      <c r="K88" s="206"/>
      <c r="L88" s="207"/>
      <c r="M88" s="208"/>
      <c r="O88" s="204" t="s">
        <v>470</v>
      </c>
      <c r="P88" s="47" t="s">
        <v>4</v>
      </c>
      <c r="Q88" s="48" t="s">
        <v>404</v>
      </c>
      <c r="R88" s="48" t="s">
        <v>314</v>
      </c>
      <c r="S88" s="48" t="s">
        <v>314</v>
      </c>
      <c r="T88" s="48"/>
      <c r="U88" s="48"/>
      <c r="V88" s="48"/>
      <c r="W88" s="48"/>
      <c r="X88" s="48" t="s">
        <v>307</v>
      </c>
      <c r="Y88" s="48"/>
      <c r="Z88" s="48"/>
      <c r="AA88" s="48"/>
      <c r="AB88" s="48"/>
      <c r="AC88" s="48"/>
      <c r="AD88" s="48"/>
      <c r="AE88" s="48"/>
      <c r="AF88" s="209"/>
      <c r="AG88" s="47"/>
      <c r="AH88" s="210" t="s">
        <v>319</v>
      </c>
      <c r="AI88" s="68" t="s">
        <v>385</v>
      </c>
      <c r="AJ88" s="438">
        <v>0.1</v>
      </c>
      <c r="AK88" s="438">
        <v>0.1</v>
      </c>
      <c r="AL88" s="438">
        <v>0.1</v>
      </c>
      <c r="AM88" s="438">
        <v>0.1</v>
      </c>
      <c r="AN88" s="438">
        <v>0.1</v>
      </c>
      <c r="AO88" s="438">
        <v>0.1</v>
      </c>
      <c r="AP88" s="438">
        <v>0.1</v>
      </c>
      <c r="AQ88" s="438">
        <v>0.1</v>
      </c>
      <c r="AR88" s="438">
        <v>0.1</v>
      </c>
      <c r="AS88" s="438">
        <v>0.4</v>
      </c>
      <c r="AT88" s="438">
        <v>0.5</v>
      </c>
      <c r="AU88" s="438">
        <v>0.6</v>
      </c>
      <c r="AV88" s="438">
        <v>0.8</v>
      </c>
      <c r="AW88" s="438">
        <v>0.9</v>
      </c>
      <c r="AX88" s="438">
        <v>1</v>
      </c>
      <c r="AY88" s="438">
        <v>1</v>
      </c>
      <c r="AZ88" s="438">
        <v>1</v>
      </c>
      <c r="BA88" s="438">
        <v>1</v>
      </c>
      <c r="BB88" s="215">
        <v>1</v>
      </c>
      <c r="BC88" s="344">
        <v>1</v>
      </c>
      <c r="BD88" s="206" t="s">
        <v>311</v>
      </c>
      <c r="BE88" s="68" t="s">
        <v>321</v>
      </c>
      <c r="BF88" s="48" t="s">
        <v>313</v>
      </c>
      <c r="BG88" s="269">
        <v>22000000</v>
      </c>
      <c r="BH88" s="212">
        <v>22000000</v>
      </c>
      <c r="BI88" s="170">
        <v>22000000</v>
      </c>
      <c r="BJ88" s="170">
        <v>22000000</v>
      </c>
      <c r="BK88" s="170">
        <v>22000000</v>
      </c>
      <c r="BL88" s="170">
        <v>22000000</v>
      </c>
      <c r="BM88" s="170">
        <v>22000000</v>
      </c>
      <c r="BN88" s="170">
        <v>22000000</v>
      </c>
      <c r="BO88" s="170">
        <v>22000000</v>
      </c>
      <c r="BP88" s="170">
        <v>22000000</v>
      </c>
      <c r="BQ88" s="213">
        <f t="shared" si="179"/>
        <v>198000000</v>
      </c>
      <c r="BR88" s="242">
        <v>1</v>
      </c>
      <c r="BS88" s="48"/>
      <c r="BT88" s="48"/>
      <c r="BU88" s="243"/>
      <c r="BV88" s="212">
        <v>25000000</v>
      </c>
      <c r="BW88" s="170">
        <v>31500000</v>
      </c>
      <c r="BX88" s="170">
        <v>33000000</v>
      </c>
      <c r="BY88" s="170">
        <v>49000000</v>
      </c>
      <c r="BZ88" s="170">
        <v>19000000</v>
      </c>
      <c r="CA88" s="170">
        <v>19000000</v>
      </c>
      <c r="CB88" s="170">
        <v>19000000</v>
      </c>
      <c r="CC88" s="170">
        <v>49000000</v>
      </c>
      <c r="CD88" s="213">
        <v>19000000</v>
      </c>
      <c r="CE88" s="212">
        <f t="shared" ref="CE88:CF90" si="191">+BV88-BH88</f>
        <v>3000000</v>
      </c>
      <c r="CF88" s="170">
        <f t="shared" si="191"/>
        <v>9500000</v>
      </c>
      <c r="CG88" s="170">
        <f t="shared" ref="CG88:CM90" si="192">+BX88-BJ88</f>
        <v>11000000</v>
      </c>
      <c r="CH88" s="170">
        <f t="shared" si="192"/>
        <v>27000000</v>
      </c>
      <c r="CI88" s="170">
        <f t="shared" si="192"/>
        <v>-3000000</v>
      </c>
      <c r="CJ88" s="170">
        <f t="shared" si="192"/>
        <v>-3000000</v>
      </c>
      <c r="CK88" s="170">
        <f t="shared" si="192"/>
        <v>-3000000</v>
      </c>
      <c r="CL88" s="170">
        <f t="shared" si="192"/>
        <v>27000000</v>
      </c>
      <c r="CM88" s="170">
        <f t="shared" si="192"/>
        <v>-3000000</v>
      </c>
      <c r="CN88" s="213">
        <f t="shared" si="182"/>
        <v>65500000</v>
      </c>
      <c r="CO88" s="219"/>
      <c r="CP88" s="220"/>
      <c r="CQ88" s="220"/>
      <c r="CR88" s="210"/>
      <c r="CS88" s="210"/>
      <c r="CT88" s="210"/>
      <c r="CU88" s="210"/>
      <c r="CV88" s="221">
        <f>+CN88-CP88*550</f>
        <v>65500000</v>
      </c>
      <c r="CW88" s="222"/>
      <c r="CX88" s="246"/>
    </row>
    <row r="89" spans="1:102" ht="26.1" customHeight="1" x14ac:dyDescent="0.25">
      <c r="A89" s="312" t="s">
        <v>86</v>
      </c>
      <c r="B89" s="364"/>
      <c r="C89" s="459" t="s">
        <v>86</v>
      </c>
      <c r="D89" s="451" t="s">
        <v>744</v>
      </c>
      <c r="E89" s="48" t="s">
        <v>1</v>
      </c>
      <c r="F89" s="50" t="s">
        <v>658</v>
      </c>
      <c r="G89" s="48" t="s">
        <v>87</v>
      </c>
      <c r="H89" s="94" t="s">
        <v>133</v>
      </c>
      <c r="I89" s="547"/>
      <c r="J89" s="548" t="s">
        <v>230</v>
      </c>
      <c r="K89" s="206"/>
      <c r="L89" s="207"/>
      <c r="M89" s="208"/>
      <c r="O89" s="312" t="s">
        <v>86</v>
      </c>
      <c r="P89" s="345" t="s">
        <v>4</v>
      </c>
      <c r="Q89" s="346" t="s">
        <v>87</v>
      </c>
      <c r="R89" s="255" t="s">
        <v>314</v>
      </c>
      <c r="S89" s="255" t="s">
        <v>314</v>
      </c>
      <c r="T89" s="255" t="s">
        <v>314</v>
      </c>
      <c r="U89" s="255"/>
      <c r="V89" s="255" t="s">
        <v>314</v>
      </c>
      <c r="W89" s="255"/>
      <c r="X89" s="255" t="s">
        <v>307</v>
      </c>
      <c r="Y89" s="255"/>
      <c r="Z89" s="255"/>
      <c r="AA89" s="255"/>
      <c r="AB89" s="255"/>
      <c r="AC89" s="255"/>
      <c r="AD89" s="255"/>
      <c r="AE89" s="255"/>
      <c r="AF89" s="333"/>
      <c r="AG89" s="332"/>
      <c r="AH89" s="255"/>
      <c r="AI89" s="255" t="s">
        <v>480</v>
      </c>
      <c r="AJ89" s="170">
        <v>0</v>
      </c>
      <c r="AK89" s="170">
        <v>0</v>
      </c>
      <c r="AL89" s="170">
        <v>0</v>
      </c>
      <c r="AM89" s="170">
        <v>0</v>
      </c>
      <c r="AN89" s="170">
        <v>0</v>
      </c>
      <c r="AO89" s="170">
        <v>0</v>
      </c>
      <c r="AP89" s="170">
        <v>0</v>
      </c>
      <c r="AQ89" s="170">
        <v>0</v>
      </c>
      <c r="AR89" s="170">
        <v>0</v>
      </c>
      <c r="AS89" s="272">
        <v>0</v>
      </c>
      <c r="AT89" s="272">
        <v>0</v>
      </c>
      <c r="AU89" s="272">
        <v>0</v>
      </c>
      <c r="AV89" s="272">
        <v>0</v>
      </c>
      <c r="AW89" s="272">
        <v>1</v>
      </c>
      <c r="AX89" s="272">
        <v>0</v>
      </c>
      <c r="AY89" s="272">
        <v>0</v>
      </c>
      <c r="AZ89" s="272">
        <v>0</v>
      </c>
      <c r="BA89" s="272">
        <v>0</v>
      </c>
      <c r="BB89" s="272"/>
      <c r="BC89" s="334"/>
      <c r="BD89" s="332"/>
      <c r="BE89" s="68" t="s">
        <v>349</v>
      </c>
      <c r="BF89" s="335" t="s">
        <v>323</v>
      </c>
      <c r="BG89" s="336"/>
      <c r="BH89" s="212">
        <v>0</v>
      </c>
      <c r="BI89" s="170">
        <v>0</v>
      </c>
      <c r="BJ89" s="170">
        <v>0</v>
      </c>
      <c r="BK89" s="170">
        <v>0</v>
      </c>
      <c r="BL89" s="170">
        <v>0</v>
      </c>
      <c r="BM89" s="170">
        <v>0</v>
      </c>
      <c r="BN89" s="170">
        <v>0</v>
      </c>
      <c r="BO89" s="170">
        <v>0</v>
      </c>
      <c r="BP89" s="170">
        <v>0</v>
      </c>
      <c r="BQ89" s="213">
        <f t="shared" si="179"/>
        <v>0</v>
      </c>
      <c r="BR89" s="338"/>
      <c r="BS89" s="255"/>
      <c r="BT89" s="255"/>
      <c r="BU89" s="336"/>
      <c r="BV89" s="337">
        <f>20000*550</f>
        <v>11000000</v>
      </c>
      <c r="BW89" s="272">
        <f>30000*550</f>
        <v>16500000</v>
      </c>
      <c r="BX89" s="272">
        <f>30000*550</f>
        <v>16500000</v>
      </c>
      <c r="BY89" s="272">
        <v>0</v>
      </c>
      <c r="BZ89" s="272">
        <v>0</v>
      </c>
      <c r="CA89" s="272">
        <v>0</v>
      </c>
      <c r="CB89" s="272">
        <v>0</v>
      </c>
      <c r="CC89" s="272">
        <v>0</v>
      </c>
      <c r="CD89" s="339">
        <v>0</v>
      </c>
      <c r="CE89" s="217">
        <f t="shared" si="191"/>
        <v>11000000</v>
      </c>
      <c r="CF89" s="170">
        <f t="shared" si="191"/>
        <v>16500000</v>
      </c>
      <c r="CG89" s="170">
        <f t="shared" si="192"/>
        <v>16500000</v>
      </c>
      <c r="CH89" s="170">
        <f t="shared" si="192"/>
        <v>0</v>
      </c>
      <c r="CI89" s="170">
        <f t="shared" si="192"/>
        <v>0</v>
      </c>
      <c r="CJ89" s="170">
        <f t="shared" si="192"/>
        <v>0</v>
      </c>
      <c r="CK89" s="170">
        <f t="shared" si="192"/>
        <v>0</v>
      </c>
      <c r="CL89" s="170">
        <f t="shared" si="192"/>
        <v>0</v>
      </c>
      <c r="CM89" s="170">
        <f t="shared" si="192"/>
        <v>0</v>
      </c>
      <c r="CN89" s="218">
        <f t="shared" si="182"/>
        <v>44000000</v>
      </c>
      <c r="CO89" s="338"/>
      <c r="CP89" s="220">
        <v>80000</v>
      </c>
      <c r="CQ89" s="255"/>
      <c r="CR89" s="255"/>
      <c r="CS89" s="255"/>
      <c r="CT89" s="255"/>
      <c r="CU89" s="255"/>
      <c r="CV89" s="221">
        <f>+CN89-CP89*550</f>
        <v>0</v>
      </c>
      <c r="CW89" s="333"/>
      <c r="CX89" s="246"/>
    </row>
    <row r="90" spans="1:102" ht="27.75" customHeight="1" x14ac:dyDescent="0.25">
      <c r="A90" s="204" t="s">
        <v>88</v>
      </c>
      <c r="B90" s="362"/>
      <c r="C90" s="450" t="s">
        <v>88</v>
      </c>
      <c r="D90" s="451" t="s">
        <v>745</v>
      </c>
      <c r="E90" s="48" t="s">
        <v>2</v>
      </c>
      <c r="F90" s="48" t="s">
        <v>403</v>
      </c>
      <c r="G90" s="48" t="s">
        <v>393</v>
      </c>
      <c r="H90" s="94" t="s">
        <v>134</v>
      </c>
      <c r="I90" s="547" t="s">
        <v>245</v>
      </c>
      <c r="J90" s="548" t="s">
        <v>230</v>
      </c>
      <c r="K90" s="206"/>
      <c r="L90" s="207"/>
      <c r="M90" s="208"/>
      <c r="O90" s="204" t="s">
        <v>88</v>
      </c>
      <c r="P90" s="47" t="s">
        <v>3</v>
      </c>
      <c r="Q90" s="48" t="s">
        <v>403</v>
      </c>
      <c r="R90" s="48"/>
      <c r="S90" s="48" t="s">
        <v>314</v>
      </c>
      <c r="T90" s="48"/>
      <c r="U90" s="48" t="s">
        <v>307</v>
      </c>
      <c r="V90" s="48"/>
      <c r="W90" s="48"/>
      <c r="X90" s="48" t="s">
        <v>314</v>
      </c>
      <c r="Y90" s="48"/>
      <c r="Z90" s="48" t="s">
        <v>314</v>
      </c>
      <c r="AA90" s="48"/>
      <c r="AB90" s="48"/>
      <c r="AC90" s="48" t="s">
        <v>314</v>
      </c>
      <c r="AD90" s="48" t="s">
        <v>314</v>
      </c>
      <c r="AE90" s="48"/>
      <c r="AF90" s="209"/>
      <c r="AG90" s="47" t="s">
        <v>315</v>
      </c>
      <c r="AH90" s="210" t="s">
        <v>316</v>
      </c>
      <c r="AI90" s="68" t="s">
        <v>346</v>
      </c>
      <c r="AJ90" s="170">
        <v>0</v>
      </c>
      <c r="AK90" s="170">
        <v>0</v>
      </c>
      <c r="AL90" s="170">
        <v>0</v>
      </c>
      <c r="AM90" s="170">
        <v>0</v>
      </c>
      <c r="AN90" s="170">
        <v>0</v>
      </c>
      <c r="AO90" s="170">
        <v>0</v>
      </c>
      <c r="AP90" s="170">
        <v>0</v>
      </c>
      <c r="AQ90" s="170">
        <v>0</v>
      </c>
      <c r="AR90" s="170">
        <v>0</v>
      </c>
      <c r="AS90" s="170">
        <v>2</v>
      </c>
      <c r="AT90" s="170">
        <v>2</v>
      </c>
      <c r="AU90" s="170">
        <v>2</v>
      </c>
      <c r="AV90" s="170">
        <v>2</v>
      </c>
      <c r="AW90" s="170">
        <v>2</v>
      </c>
      <c r="AX90" s="170">
        <v>2</v>
      </c>
      <c r="AY90" s="170">
        <v>2</v>
      </c>
      <c r="AZ90" s="170">
        <v>2</v>
      </c>
      <c r="BA90" s="170">
        <v>2</v>
      </c>
      <c r="BB90" s="170"/>
      <c r="BC90" s="260"/>
      <c r="BD90" s="206" t="s">
        <v>334</v>
      </c>
      <c r="BE90" s="68" t="s">
        <v>312</v>
      </c>
      <c r="BF90" s="48" t="s">
        <v>323</v>
      </c>
      <c r="BG90" s="241"/>
      <c r="BH90" s="212">
        <v>0</v>
      </c>
      <c r="BI90" s="170">
        <v>0</v>
      </c>
      <c r="BJ90" s="170">
        <v>0</v>
      </c>
      <c r="BK90" s="170">
        <v>0</v>
      </c>
      <c r="BL90" s="170">
        <v>0</v>
      </c>
      <c r="BM90" s="170">
        <v>0</v>
      </c>
      <c r="BN90" s="170">
        <v>0</v>
      </c>
      <c r="BO90" s="170">
        <v>0</v>
      </c>
      <c r="BP90" s="170">
        <v>0</v>
      </c>
      <c r="BQ90" s="213">
        <f t="shared" si="179"/>
        <v>0</v>
      </c>
      <c r="BR90" s="245"/>
      <c r="BS90" s="48"/>
      <c r="BT90" s="48"/>
      <c r="BU90" s="243"/>
      <c r="BV90" s="212">
        <f>10000*550</f>
        <v>5500000</v>
      </c>
      <c r="BW90" s="170">
        <f t="shared" ref="BW90:CD90" si="193">10000*550</f>
        <v>5500000</v>
      </c>
      <c r="BX90" s="170">
        <f t="shared" si="193"/>
        <v>5500000</v>
      </c>
      <c r="BY90" s="170">
        <f t="shared" si="193"/>
        <v>5500000</v>
      </c>
      <c r="BZ90" s="170">
        <f t="shared" si="193"/>
        <v>5500000</v>
      </c>
      <c r="CA90" s="170">
        <f t="shared" si="193"/>
        <v>5500000</v>
      </c>
      <c r="CB90" s="170">
        <f t="shared" si="193"/>
        <v>5500000</v>
      </c>
      <c r="CC90" s="170">
        <f t="shared" si="193"/>
        <v>5500000</v>
      </c>
      <c r="CD90" s="213">
        <f t="shared" si="193"/>
        <v>5500000</v>
      </c>
      <c r="CE90" s="217">
        <f t="shared" si="191"/>
        <v>5500000</v>
      </c>
      <c r="CF90" s="170">
        <f t="shared" si="191"/>
        <v>5500000</v>
      </c>
      <c r="CG90" s="170">
        <f t="shared" si="192"/>
        <v>5500000</v>
      </c>
      <c r="CH90" s="170">
        <f t="shared" si="192"/>
        <v>5500000</v>
      </c>
      <c r="CI90" s="170">
        <f t="shared" si="192"/>
        <v>5500000</v>
      </c>
      <c r="CJ90" s="170">
        <f t="shared" si="192"/>
        <v>5500000</v>
      </c>
      <c r="CK90" s="170">
        <f t="shared" si="192"/>
        <v>5500000</v>
      </c>
      <c r="CL90" s="170">
        <f t="shared" si="192"/>
        <v>5500000</v>
      </c>
      <c r="CM90" s="170">
        <f t="shared" si="192"/>
        <v>5500000</v>
      </c>
      <c r="CN90" s="218">
        <f t="shared" si="182"/>
        <v>49500000</v>
      </c>
      <c r="CO90" s="219"/>
      <c r="CP90" s="220">
        <v>190000</v>
      </c>
      <c r="CQ90" s="220" t="s">
        <v>347</v>
      </c>
      <c r="CR90" s="210"/>
      <c r="CS90" s="210"/>
      <c r="CT90" s="210"/>
      <c r="CU90" s="210"/>
      <c r="CV90" s="221">
        <f>+CN90-CP90*550</f>
        <v>-55000000</v>
      </c>
      <c r="CW90" s="222"/>
      <c r="CX90" s="246"/>
    </row>
    <row r="91" spans="1:102" ht="26.1" hidden="1" customHeight="1" x14ac:dyDescent="0.25">
      <c r="A91" s="143" t="s">
        <v>89</v>
      </c>
      <c r="B91" s="360"/>
      <c r="C91" s="447" t="s">
        <v>89</v>
      </c>
      <c r="D91" s="154" t="s">
        <v>746</v>
      </c>
      <c r="E91" s="448" t="s">
        <v>2</v>
      </c>
      <c r="F91" s="145"/>
      <c r="G91" s="60"/>
      <c r="H91" s="453"/>
      <c r="I91" s="549"/>
      <c r="J91" s="550"/>
      <c r="K91" s="147" t="s">
        <v>259</v>
      </c>
      <c r="L91" s="148"/>
      <c r="M91" s="149"/>
      <c r="O91" s="143" t="s">
        <v>89</v>
      </c>
      <c r="P91" s="150"/>
      <c r="Q91" s="145"/>
      <c r="R91" s="145"/>
      <c r="S91" s="145"/>
      <c r="T91" s="145"/>
      <c r="U91" s="145"/>
      <c r="V91" s="145"/>
      <c r="W91" s="145"/>
      <c r="X91" s="145"/>
      <c r="Y91" s="145"/>
      <c r="Z91" s="145"/>
      <c r="AA91" s="145"/>
      <c r="AB91" s="145"/>
      <c r="AC91" s="145"/>
      <c r="AD91" s="145"/>
      <c r="AE91" s="145"/>
      <c r="AF91" s="151"/>
      <c r="AG91" s="150"/>
      <c r="AH91" s="145"/>
      <c r="AI91" s="145"/>
      <c r="AJ91" s="152"/>
      <c r="AK91" s="152"/>
      <c r="AL91" s="152"/>
      <c r="AM91" s="152"/>
      <c r="AN91" s="152"/>
      <c r="AO91" s="152"/>
      <c r="AP91" s="152"/>
      <c r="AQ91" s="152"/>
      <c r="AR91" s="152"/>
      <c r="AS91" s="152"/>
      <c r="AT91" s="152"/>
      <c r="AU91" s="152"/>
      <c r="AV91" s="152"/>
      <c r="AW91" s="152"/>
      <c r="AX91" s="152"/>
      <c r="AY91" s="152"/>
      <c r="AZ91" s="152"/>
      <c r="BA91" s="152"/>
      <c r="BB91" s="152"/>
      <c r="BC91" s="254"/>
      <c r="BD91" s="150"/>
      <c r="BE91" s="154" t="s">
        <v>356</v>
      </c>
      <c r="BF91" s="155"/>
      <c r="BG91" s="156">
        <f>SUM(BG92:BG94)</f>
        <v>0</v>
      </c>
      <c r="BH91" s="157">
        <f>SUM(BH92:BH94)</f>
        <v>0</v>
      </c>
      <c r="BI91" s="152">
        <f>SUM(BI92:BI94)</f>
        <v>0</v>
      </c>
      <c r="BJ91" s="152">
        <f t="shared" ref="BJ91:BP91" si="194">SUM(BJ92:BJ94)</f>
        <v>0</v>
      </c>
      <c r="BK91" s="152">
        <f t="shared" si="194"/>
        <v>0</v>
      </c>
      <c r="BL91" s="152">
        <f t="shared" si="194"/>
        <v>0</v>
      </c>
      <c r="BM91" s="152">
        <f t="shared" si="194"/>
        <v>0</v>
      </c>
      <c r="BN91" s="152">
        <f t="shared" si="194"/>
        <v>0</v>
      </c>
      <c r="BO91" s="152">
        <f t="shared" si="194"/>
        <v>0</v>
      </c>
      <c r="BP91" s="152">
        <f t="shared" si="194"/>
        <v>0</v>
      </c>
      <c r="BQ91" s="156">
        <f t="shared" si="179"/>
        <v>0</v>
      </c>
      <c r="BR91" s="158"/>
      <c r="BS91" s="145"/>
      <c r="BT91" s="145"/>
      <c r="BU91" s="159"/>
      <c r="BV91" s="157">
        <f>SUM(BV92:BV94)</f>
        <v>50930000</v>
      </c>
      <c r="BW91" s="152">
        <f>SUM(BW92:BW94)</f>
        <v>51673600</v>
      </c>
      <c r="BX91" s="152">
        <f t="shared" ref="BX91:CC91" si="195">SUM(BX92:BX94)</f>
        <v>52432072</v>
      </c>
      <c r="BY91" s="152">
        <f t="shared" si="195"/>
        <v>53205713.439999998</v>
      </c>
      <c r="BZ91" s="152">
        <f t="shared" si="195"/>
        <v>53994827.708799995</v>
      </c>
      <c r="CA91" s="152">
        <f t="shared" si="195"/>
        <v>54799724.262975998</v>
      </c>
      <c r="CB91" s="152">
        <f t="shared" si="195"/>
        <v>55620718.748235516</v>
      </c>
      <c r="CC91" s="152">
        <f t="shared" si="195"/>
        <v>56458133.12320023</v>
      </c>
      <c r="CD91" s="156">
        <f>SUM(CD92:CD94)</f>
        <v>57312295.785664238</v>
      </c>
      <c r="CE91" s="157">
        <f>SUM(CE92:CE94)</f>
        <v>50930000</v>
      </c>
      <c r="CF91" s="152">
        <f>SUM(CF92:CF94)</f>
        <v>51673600</v>
      </c>
      <c r="CG91" s="152">
        <f t="shared" ref="CG91:CL91" si="196">SUM(CG92:CG94)</f>
        <v>52432072</v>
      </c>
      <c r="CH91" s="152">
        <f t="shared" si="196"/>
        <v>53205713.439999998</v>
      </c>
      <c r="CI91" s="152">
        <f t="shared" si="196"/>
        <v>53994827.708799995</v>
      </c>
      <c r="CJ91" s="152">
        <f t="shared" si="196"/>
        <v>54799724.262975998</v>
      </c>
      <c r="CK91" s="152">
        <f t="shared" si="196"/>
        <v>55620718.748235516</v>
      </c>
      <c r="CL91" s="152">
        <f t="shared" si="196"/>
        <v>56458133.12320023</v>
      </c>
      <c r="CM91" s="152">
        <f>SUM(CM92:CM94)</f>
        <v>57312295.785664238</v>
      </c>
      <c r="CN91" s="156">
        <f t="shared" si="182"/>
        <v>486427085.06887603</v>
      </c>
      <c r="CO91" s="158"/>
      <c r="CP91" s="160">
        <f>SUM(CP92:CP94)</f>
        <v>238000</v>
      </c>
      <c r="CQ91" s="145"/>
      <c r="CR91" s="145"/>
      <c r="CS91" s="145"/>
      <c r="CT91" s="145"/>
      <c r="CU91" s="145"/>
      <c r="CV91" s="152">
        <f>SUM(CV92:CV94)</f>
        <v>355527085.06887597</v>
      </c>
      <c r="CW91" s="151"/>
      <c r="CX91" s="162"/>
    </row>
    <row r="92" spans="1:102" ht="36" customHeight="1" x14ac:dyDescent="0.25">
      <c r="A92" s="204" t="s">
        <v>90</v>
      </c>
      <c r="B92" s="362"/>
      <c r="C92" s="450" t="s">
        <v>90</v>
      </c>
      <c r="D92" s="451" t="s">
        <v>747</v>
      </c>
      <c r="E92" s="48" t="s">
        <v>2</v>
      </c>
      <c r="F92" s="48" t="s">
        <v>403</v>
      </c>
      <c r="G92" s="48" t="s">
        <v>393</v>
      </c>
      <c r="H92" s="94" t="s">
        <v>135</v>
      </c>
      <c r="I92" s="547"/>
      <c r="J92" s="548" t="s">
        <v>230</v>
      </c>
      <c r="K92" s="206"/>
      <c r="L92" s="207"/>
      <c r="M92" s="208"/>
      <c r="O92" s="204" t="s">
        <v>90</v>
      </c>
      <c r="P92" s="47" t="s">
        <v>81</v>
      </c>
      <c r="Q92" s="48" t="s">
        <v>403</v>
      </c>
      <c r="R92" s="48"/>
      <c r="S92" s="48" t="s">
        <v>314</v>
      </c>
      <c r="T92" s="48"/>
      <c r="U92" s="48" t="s">
        <v>307</v>
      </c>
      <c r="V92" s="48"/>
      <c r="W92" s="48"/>
      <c r="X92" s="48" t="s">
        <v>314</v>
      </c>
      <c r="Y92" s="48"/>
      <c r="Z92" s="48"/>
      <c r="AA92" s="48" t="s">
        <v>314</v>
      </c>
      <c r="AB92" s="48" t="s">
        <v>314</v>
      </c>
      <c r="AC92" s="48"/>
      <c r="AD92" s="48"/>
      <c r="AE92" s="48" t="s">
        <v>314</v>
      </c>
      <c r="AF92" s="209"/>
      <c r="AG92" s="47" t="s">
        <v>315</v>
      </c>
      <c r="AH92" s="210" t="s">
        <v>319</v>
      </c>
      <c r="AI92" s="68" t="s">
        <v>348</v>
      </c>
      <c r="AJ92" s="170">
        <v>0</v>
      </c>
      <c r="AK92" s="170">
        <v>0</v>
      </c>
      <c r="AL92" s="170">
        <v>0</v>
      </c>
      <c r="AM92" s="170">
        <v>0</v>
      </c>
      <c r="AN92" s="170">
        <v>0</v>
      </c>
      <c r="AO92" s="170">
        <v>0</v>
      </c>
      <c r="AP92" s="170">
        <v>0</v>
      </c>
      <c r="AQ92" s="170">
        <v>0</v>
      </c>
      <c r="AR92" s="170">
        <v>0</v>
      </c>
      <c r="AS92" s="170">
        <v>0</v>
      </c>
      <c r="AT92" s="170">
        <v>1</v>
      </c>
      <c r="AU92" s="170">
        <v>0</v>
      </c>
      <c r="AV92" s="170">
        <v>1</v>
      </c>
      <c r="AW92" s="170">
        <v>0</v>
      </c>
      <c r="AX92" s="170">
        <v>1</v>
      </c>
      <c r="AY92" s="170">
        <v>0</v>
      </c>
      <c r="AZ92" s="170">
        <v>1</v>
      </c>
      <c r="BA92" s="170">
        <v>0</v>
      </c>
      <c r="BB92" s="170"/>
      <c r="BC92" s="260"/>
      <c r="BD92" s="206" t="s">
        <v>330</v>
      </c>
      <c r="BE92" s="68" t="s">
        <v>349</v>
      </c>
      <c r="BF92" s="48" t="s">
        <v>313</v>
      </c>
      <c r="BG92" s="241"/>
      <c r="BH92" s="212">
        <v>0</v>
      </c>
      <c r="BI92" s="170">
        <v>0</v>
      </c>
      <c r="BJ92" s="170">
        <v>0</v>
      </c>
      <c r="BK92" s="170">
        <v>0</v>
      </c>
      <c r="BL92" s="170">
        <v>0</v>
      </c>
      <c r="BM92" s="170">
        <v>0</v>
      </c>
      <c r="BN92" s="170">
        <v>0</v>
      </c>
      <c r="BO92" s="170">
        <v>0</v>
      </c>
      <c r="BP92" s="170">
        <v>0</v>
      </c>
      <c r="BQ92" s="213">
        <f t="shared" ref="BQ92:BQ98" si="197">SUM(BH92:BP92)</f>
        <v>0</v>
      </c>
      <c r="BR92" s="245"/>
      <c r="BS92" s="48"/>
      <c r="BT92" s="48"/>
      <c r="BU92" s="243"/>
      <c r="BV92" s="212">
        <f>1000*550</f>
        <v>550000</v>
      </c>
      <c r="BW92" s="170">
        <f t="shared" ref="BW92:CD92" si="198">1000*550</f>
        <v>550000</v>
      </c>
      <c r="BX92" s="170">
        <f t="shared" si="198"/>
        <v>550000</v>
      </c>
      <c r="BY92" s="170">
        <f t="shared" si="198"/>
        <v>550000</v>
      </c>
      <c r="BZ92" s="170">
        <f t="shared" si="198"/>
        <v>550000</v>
      </c>
      <c r="CA92" s="170">
        <f t="shared" si="198"/>
        <v>550000</v>
      </c>
      <c r="CB92" s="170">
        <f t="shared" si="198"/>
        <v>550000</v>
      </c>
      <c r="CC92" s="170">
        <f t="shared" si="198"/>
        <v>550000</v>
      </c>
      <c r="CD92" s="213">
        <f t="shared" si="198"/>
        <v>550000</v>
      </c>
      <c r="CE92" s="217">
        <f t="shared" ref="CE92:CM94" si="199">+BV92-BH92</f>
        <v>550000</v>
      </c>
      <c r="CF92" s="170">
        <f t="shared" si="199"/>
        <v>550000</v>
      </c>
      <c r="CG92" s="170">
        <f t="shared" si="199"/>
        <v>550000</v>
      </c>
      <c r="CH92" s="170">
        <f t="shared" si="199"/>
        <v>550000</v>
      </c>
      <c r="CI92" s="170">
        <f t="shared" si="199"/>
        <v>550000</v>
      </c>
      <c r="CJ92" s="170">
        <f t="shared" si="199"/>
        <v>550000</v>
      </c>
      <c r="CK92" s="170">
        <f t="shared" si="199"/>
        <v>550000</v>
      </c>
      <c r="CL92" s="170">
        <f t="shared" si="199"/>
        <v>550000</v>
      </c>
      <c r="CM92" s="170">
        <f t="shared" si="199"/>
        <v>550000</v>
      </c>
      <c r="CN92" s="218">
        <f t="shared" si="182"/>
        <v>4950000</v>
      </c>
      <c r="CO92" s="219"/>
      <c r="CP92" s="220"/>
      <c r="CQ92" s="220"/>
      <c r="CR92" s="210"/>
      <c r="CS92" s="210"/>
      <c r="CT92" s="210"/>
      <c r="CU92" s="210"/>
      <c r="CV92" s="221">
        <f>+CN92-CP92*550</f>
        <v>4950000</v>
      </c>
      <c r="CW92" s="222"/>
      <c r="CX92" s="246"/>
    </row>
    <row r="93" spans="1:102" ht="26.1" customHeight="1" x14ac:dyDescent="0.25">
      <c r="A93" s="204" t="s">
        <v>91</v>
      </c>
      <c r="B93" s="362"/>
      <c r="C93" s="450" t="s">
        <v>91</v>
      </c>
      <c r="D93" s="451" t="s">
        <v>748</v>
      </c>
      <c r="E93" s="48" t="s">
        <v>2</v>
      </c>
      <c r="F93" s="48" t="s">
        <v>403</v>
      </c>
      <c r="G93" s="48" t="s">
        <v>393</v>
      </c>
      <c r="H93" s="94" t="s">
        <v>136</v>
      </c>
      <c r="I93" s="547"/>
      <c r="J93" s="548" t="s">
        <v>234</v>
      </c>
      <c r="K93" s="206"/>
      <c r="L93" s="207"/>
      <c r="M93" s="208"/>
      <c r="O93" s="204" t="s">
        <v>91</v>
      </c>
      <c r="P93" s="47" t="s">
        <v>81</v>
      </c>
      <c r="Q93" s="48" t="s">
        <v>403</v>
      </c>
      <c r="R93" s="48"/>
      <c r="S93" s="48" t="s">
        <v>314</v>
      </c>
      <c r="T93" s="48"/>
      <c r="U93" s="48" t="s">
        <v>307</v>
      </c>
      <c r="V93" s="48"/>
      <c r="W93" s="48"/>
      <c r="X93" s="48" t="s">
        <v>314</v>
      </c>
      <c r="Y93" s="48"/>
      <c r="Z93" s="48"/>
      <c r="AA93" s="48"/>
      <c r="AB93" s="48"/>
      <c r="AC93" s="48"/>
      <c r="AD93" s="48"/>
      <c r="AE93" s="48"/>
      <c r="AF93" s="209"/>
      <c r="AG93" s="47" t="s">
        <v>315</v>
      </c>
      <c r="AH93" s="210" t="s">
        <v>319</v>
      </c>
      <c r="AI93" s="68" t="s">
        <v>350</v>
      </c>
      <c r="AJ93" s="170">
        <v>0</v>
      </c>
      <c r="AK93" s="170">
        <v>0</v>
      </c>
      <c r="AL93" s="170">
        <v>0</v>
      </c>
      <c r="AM93" s="170">
        <v>0</v>
      </c>
      <c r="AN93" s="170">
        <v>0</v>
      </c>
      <c r="AO93" s="170">
        <v>0</v>
      </c>
      <c r="AP93" s="170">
        <v>0</v>
      </c>
      <c r="AQ93" s="170">
        <v>0</v>
      </c>
      <c r="AR93" s="170">
        <v>0</v>
      </c>
      <c r="AS93" s="170">
        <v>1</v>
      </c>
      <c r="AT93" s="170">
        <v>1</v>
      </c>
      <c r="AU93" s="170">
        <v>1</v>
      </c>
      <c r="AV93" s="170">
        <v>1</v>
      </c>
      <c r="AW93" s="170">
        <v>1</v>
      </c>
      <c r="AX93" s="170">
        <v>1</v>
      </c>
      <c r="AY93" s="170">
        <v>1</v>
      </c>
      <c r="AZ93" s="170">
        <v>1</v>
      </c>
      <c r="BA93" s="170">
        <v>1</v>
      </c>
      <c r="BB93" s="170"/>
      <c r="BC93" s="260"/>
      <c r="BD93" s="206" t="s">
        <v>330</v>
      </c>
      <c r="BE93" s="68" t="s">
        <v>321</v>
      </c>
      <c r="BF93" s="48" t="s">
        <v>323</v>
      </c>
      <c r="BG93" s="241"/>
      <c r="BH93" s="212">
        <v>0</v>
      </c>
      <c r="BI93" s="170">
        <v>0</v>
      </c>
      <c r="BJ93" s="170">
        <v>0</v>
      </c>
      <c r="BK93" s="170">
        <v>0</v>
      </c>
      <c r="BL93" s="170">
        <v>0</v>
      </c>
      <c r="BM93" s="170">
        <v>0</v>
      </c>
      <c r="BN93" s="170">
        <v>0</v>
      </c>
      <c r="BO93" s="170">
        <v>0</v>
      </c>
      <c r="BP93" s="170">
        <v>0</v>
      </c>
      <c r="BQ93" s="213">
        <f t="shared" si="197"/>
        <v>0</v>
      </c>
      <c r="BR93" s="245"/>
      <c r="BS93" s="48"/>
      <c r="BT93" s="48"/>
      <c r="BU93" s="243"/>
      <c r="BV93" s="212">
        <f>1300*550*13*4</f>
        <v>37180000</v>
      </c>
      <c r="BW93" s="170">
        <f>+BV93*1.02</f>
        <v>37923600</v>
      </c>
      <c r="BX93" s="170">
        <f t="shared" ref="BX93:CD93" si="200">+BW93*1.02</f>
        <v>38682072</v>
      </c>
      <c r="BY93" s="170">
        <f t="shared" si="200"/>
        <v>39455713.439999998</v>
      </c>
      <c r="BZ93" s="170">
        <f t="shared" si="200"/>
        <v>40244827.708799995</v>
      </c>
      <c r="CA93" s="170">
        <f t="shared" si="200"/>
        <v>41049724.262975998</v>
      </c>
      <c r="CB93" s="170">
        <f t="shared" si="200"/>
        <v>41870718.748235516</v>
      </c>
      <c r="CC93" s="170">
        <f t="shared" si="200"/>
        <v>42708133.12320023</v>
      </c>
      <c r="CD93" s="213">
        <f t="shared" si="200"/>
        <v>43562295.785664238</v>
      </c>
      <c r="CE93" s="217">
        <f t="shared" si="199"/>
        <v>37180000</v>
      </c>
      <c r="CF93" s="170">
        <f t="shared" si="199"/>
        <v>37923600</v>
      </c>
      <c r="CG93" s="170">
        <f t="shared" si="199"/>
        <v>38682072</v>
      </c>
      <c r="CH93" s="170">
        <f t="shared" si="199"/>
        <v>39455713.439999998</v>
      </c>
      <c r="CI93" s="170">
        <f t="shared" si="199"/>
        <v>40244827.708799995</v>
      </c>
      <c r="CJ93" s="170">
        <f t="shared" si="199"/>
        <v>41049724.262975998</v>
      </c>
      <c r="CK93" s="170">
        <f t="shared" si="199"/>
        <v>41870718.748235516</v>
      </c>
      <c r="CL93" s="170">
        <f t="shared" si="199"/>
        <v>42708133.12320023</v>
      </c>
      <c r="CM93" s="170">
        <f t="shared" si="199"/>
        <v>43562295.785664238</v>
      </c>
      <c r="CN93" s="218">
        <f t="shared" si="182"/>
        <v>362677085.06887597</v>
      </c>
      <c r="CO93" s="219"/>
      <c r="CP93" s="220"/>
      <c r="CQ93" s="220"/>
      <c r="CR93" s="210"/>
      <c r="CS93" s="210"/>
      <c r="CT93" s="210"/>
      <c r="CU93" s="210"/>
      <c r="CV93" s="221">
        <f>+CN93-CP93*550</f>
        <v>362677085.06887597</v>
      </c>
      <c r="CW93" s="222"/>
      <c r="CX93" s="246"/>
    </row>
    <row r="94" spans="1:102" ht="26.1" customHeight="1" x14ac:dyDescent="0.25">
      <c r="A94" s="204" t="s">
        <v>92</v>
      </c>
      <c r="B94" s="362"/>
      <c r="C94" s="450" t="s">
        <v>466</v>
      </c>
      <c r="D94" s="451" t="s">
        <v>749</v>
      </c>
      <c r="E94" s="48" t="s">
        <v>2</v>
      </c>
      <c r="F94" s="48" t="s">
        <v>403</v>
      </c>
      <c r="G94" s="48" t="s">
        <v>393</v>
      </c>
      <c r="H94" s="94" t="s">
        <v>137</v>
      </c>
      <c r="I94" s="547"/>
      <c r="J94" s="548" t="s">
        <v>229</v>
      </c>
      <c r="K94" s="206"/>
      <c r="L94" s="207"/>
      <c r="M94" s="208"/>
      <c r="O94" s="204" t="s">
        <v>466</v>
      </c>
      <c r="P94" s="47" t="s">
        <v>81</v>
      </c>
      <c r="Q94" s="48" t="s">
        <v>403</v>
      </c>
      <c r="R94" s="48" t="s">
        <v>314</v>
      </c>
      <c r="S94" s="48" t="s">
        <v>314</v>
      </c>
      <c r="T94" s="48"/>
      <c r="U94" s="48" t="s">
        <v>307</v>
      </c>
      <c r="V94" s="48" t="s">
        <v>314</v>
      </c>
      <c r="W94" s="48"/>
      <c r="X94" s="48" t="s">
        <v>314</v>
      </c>
      <c r="Y94" s="48"/>
      <c r="Z94" s="48"/>
      <c r="AA94" s="48" t="s">
        <v>314</v>
      </c>
      <c r="AB94" s="48"/>
      <c r="AC94" s="48" t="s">
        <v>314</v>
      </c>
      <c r="AD94" s="48" t="s">
        <v>314</v>
      </c>
      <c r="AE94" s="48" t="s">
        <v>314</v>
      </c>
      <c r="AF94" s="209"/>
      <c r="AG94" s="47" t="s">
        <v>315</v>
      </c>
      <c r="AH94" s="210" t="s">
        <v>319</v>
      </c>
      <c r="AI94" s="68" t="s">
        <v>467</v>
      </c>
      <c r="AJ94" s="170">
        <v>0</v>
      </c>
      <c r="AK94" s="170">
        <v>0</v>
      </c>
      <c r="AL94" s="170">
        <v>0</v>
      </c>
      <c r="AM94" s="170">
        <v>0</v>
      </c>
      <c r="AN94" s="170">
        <v>0</v>
      </c>
      <c r="AO94" s="170">
        <v>0</v>
      </c>
      <c r="AP94" s="170">
        <v>0</v>
      </c>
      <c r="AQ94" s="170">
        <v>0</v>
      </c>
      <c r="AR94" s="170">
        <v>0</v>
      </c>
      <c r="AS94" s="170">
        <v>1</v>
      </c>
      <c r="AT94" s="170">
        <v>1</v>
      </c>
      <c r="AU94" s="170">
        <v>1</v>
      </c>
      <c r="AV94" s="170">
        <v>1</v>
      </c>
      <c r="AW94" s="170">
        <v>1</v>
      </c>
      <c r="AX94" s="170">
        <v>1</v>
      </c>
      <c r="AY94" s="170">
        <v>1</v>
      </c>
      <c r="AZ94" s="170">
        <v>1</v>
      </c>
      <c r="BA94" s="170">
        <v>1</v>
      </c>
      <c r="BB94" s="170"/>
      <c r="BC94" s="260"/>
      <c r="BD94" s="206" t="s">
        <v>330</v>
      </c>
      <c r="BE94" s="68" t="s">
        <v>321</v>
      </c>
      <c r="BF94" s="48" t="s">
        <v>323</v>
      </c>
      <c r="BG94" s="241"/>
      <c r="BH94" s="212">
        <v>0</v>
      </c>
      <c r="BI94" s="170">
        <v>0</v>
      </c>
      <c r="BJ94" s="170">
        <v>0</v>
      </c>
      <c r="BK94" s="170">
        <v>0</v>
      </c>
      <c r="BL94" s="170">
        <v>0</v>
      </c>
      <c r="BM94" s="170">
        <v>0</v>
      </c>
      <c r="BN94" s="170">
        <v>0</v>
      </c>
      <c r="BO94" s="170">
        <v>0</v>
      </c>
      <c r="BP94" s="170">
        <v>0</v>
      </c>
      <c r="BQ94" s="213">
        <f t="shared" si="197"/>
        <v>0</v>
      </c>
      <c r="BR94" s="245"/>
      <c r="BS94" s="48"/>
      <c r="BT94" s="48"/>
      <c r="BU94" s="243"/>
      <c r="BV94" s="212">
        <f>24000*550</f>
        <v>13200000</v>
      </c>
      <c r="BW94" s="170">
        <f>24000*550</f>
        <v>13200000</v>
      </c>
      <c r="BX94" s="170">
        <f t="shared" ref="BX94:CD94" si="201">24000*550</f>
        <v>13200000</v>
      </c>
      <c r="BY94" s="170">
        <f t="shared" si="201"/>
        <v>13200000</v>
      </c>
      <c r="BZ94" s="170">
        <f t="shared" si="201"/>
        <v>13200000</v>
      </c>
      <c r="CA94" s="170">
        <f t="shared" si="201"/>
        <v>13200000</v>
      </c>
      <c r="CB94" s="170">
        <f t="shared" si="201"/>
        <v>13200000</v>
      </c>
      <c r="CC94" s="170">
        <f t="shared" si="201"/>
        <v>13200000</v>
      </c>
      <c r="CD94" s="213">
        <f t="shared" si="201"/>
        <v>13200000</v>
      </c>
      <c r="CE94" s="217">
        <f t="shared" si="199"/>
        <v>13200000</v>
      </c>
      <c r="CF94" s="170">
        <f t="shared" si="199"/>
        <v>13200000</v>
      </c>
      <c r="CG94" s="170">
        <f t="shared" si="199"/>
        <v>13200000</v>
      </c>
      <c r="CH94" s="170">
        <f t="shared" si="199"/>
        <v>13200000</v>
      </c>
      <c r="CI94" s="170">
        <f t="shared" si="199"/>
        <v>13200000</v>
      </c>
      <c r="CJ94" s="170">
        <f t="shared" si="199"/>
        <v>13200000</v>
      </c>
      <c r="CK94" s="170">
        <f t="shared" si="199"/>
        <v>13200000</v>
      </c>
      <c r="CL94" s="170">
        <f t="shared" si="199"/>
        <v>13200000</v>
      </c>
      <c r="CM94" s="170">
        <f t="shared" si="199"/>
        <v>13200000</v>
      </c>
      <c r="CN94" s="218">
        <f t="shared" si="182"/>
        <v>118800000</v>
      </c>
      <c r="CO94" s="219"/>
      <c r="CP94" s="220">
        <f>178000+60000</f>
        <v>238000</v>
      </c>
      <c r="CQ94" s="220" t="s">
        <v>351</v>
      </c>
      <c r="CR94" s="210"/>
      <c r="CS94" s="210"/>
      <c r="CT94" s="210"/>
      <c r="CU94" s="210"/>
      <c r="CV94" s="221">
        <f>+CN94-CP94*550</f>
        <v>-12100000</v>
      </c>
      <c r="CW94" s="222"/>
      <c r="CX94" s="246"/>
    </row>
    <row r="95" spans="1:102" ht="26.1" hidden="1" customHeight="1" x14ac:dyDescent="0.25">
      <c r="A95" s="143" t="s">
        <v>93</v>
      </c>
      <c r="B95" s="360"/>
      <c r="C95" s="447" t="s">
        <v>93</v>
      </c>
      <c r="D95" s="154" t="s">
        <v>750</v>
      </c>
      <c r="E95" s="448" t="s">
        <v>2</v>
      </c>
      <c r="F95" s="145"/>
      <c r="G95" s="60"/>
      <c r="H95" s="453"/>
      <c r="I95" s="549"/>
      <c r="J95" s="550"/>
      <c r="K95" s="147" t="s">
        <v>259</v>
      </c>
      <c r="L95" s="148"/>
      <c r="M95" s="149"/>
      <c r="O95" s="143" t="s">
        <v>93</v>
      </c>
      <c r="P95" s="150"/>
      <c r="Q95" s="145"/>
      <c r="R95" s="145"/>
      <c r="S95" s="145"/>
      <c r="T95" s="145"/>
      <c r="U95" s="145"/>
      <c r="V95" s="145"/>
      <c r="W95" s="145"/>
      <c r="X95" s="145"/>
      <c r="Y95" s="145"/>
      <c r="Z95" s="145"/>
      <c r="AA95" s="145"/>
      <c r="AB95" s="145"/>
      <c r="AC95" s="145"/>
      <c r="AD95" s="145"/>
      <c r="AE95" s="145"/>
      <c r="AF95" s="151"/>
      <c r="AG95" s="150"/>
      <c r="AH95" s="145"/>
      <c r="AI95" s="145"/>
      <c r="AJ95" s="152"/>
      <c r="AK95" s="152"/>
      <c r="AL95" s="152"/>
      <c r="AM95" s="152"/>
      <c r="AN95" s="152"/>
      <c r="AO95" s="152"/>
      <c r="AP95" s="152"/>
      <c r="AQ95" s="152"/>
      <c r="AR95" s="152"/>
      <c r="AS95" s="152"/>
      <c r="AT95" s="152"/>
      <c r="AU95" s="152"/>
      <c r="AV95" s="152"/>
      <c r="AW95" s="152"/>
      <c r="AX95" s="152"/>
      <c r="AY95" s="152"/>
      <c r="AZ95" s="152"/>
      <c r="BA95" s="152"/>
      <c r="BB95" s="152"/>
      <c r="BC95" s="254"/>
      <c r="BD95" s="150"/>
      <c r="BE95" s="154" t="s">
        <v>356</v>
      </c>
      <c r="BF95" s="155"/>
      <c r="BG95" s="156">
        <f>SUM(BG96)</f>
        <v>27500000</v>
      </c>
      <c r="BH95" s="157">
        <f>SUM(BH96)</f>
        <v>0</v>
      </c>
      <c r="BI95" s="152">
        <f>SUM(BI96)</f>
        <v>0</v>
      </c>
      <c r="BJ95" s="152">
        <f t="shared" ref="BJ95:BP95" si="202">SUM(BJ96)</f>
        <v>0</v>
      </c>
      <c r="BK95" s="152">
        <f t="shared" si="202"/>
        <v>0</v>
      </c>
      <c r="BL95" s="152">
        <f t="shared" si="202"/>
        <v>0</v>
      </c>
      <c r="BM95" s="152">
        <f t="shared" si="202"/>
        <v>0</v>
      </c>
      <c r="BN95" s="152">
        <f t="shared" si="202"/>
        <v>0</v>
      </c>
      <c r="BO95" s="152">
        <f t="shared" si="202"/>
        <v>0</v>
      </c>
      <c r="BP95" s="152">
        <f t="shared" si="202"/>
        <v>0</v>
      </c>
      <c r="BQ95" s="156">
        <f t="shared" si="197"/>
        <v>0</v>
      </c>
      <c r="BR95" s="158"/>
      <c r="BS95" s="145"/>
      <c r="BT95" s="145"/>
      <c r="BU95" s="159"/>
      <c r="BV95" s="157">
        <f>SUM(BV96)</f>
        <v>35750000</v>
      </c>
      <c r="BW95" s="152">
        <f>SUM(BW96)</f>
        <v>0</v>
      </c>
      <c r="BX95" s="152">
        <f t="shared" ref="BX95:CC95" si="203">SUM(BX96)</f>
        <v>24750000</v>
      </c>
      <c r="BY95" s="152">
        <f t="shared" si="203"/>
        <v>0</v>
      </c>
      <c r="BZ95" s="152">
        <f t="shared" si="203"/>
        <v>24750000</v>
      </c>
      <c r="CA95" s="152">
        <f t="shared" si="203"/>
        <v>0</v>
      </c>
      <c r="CB95" s="152">
        <f t="shared" si="203"/>
        <v>0</v>
      </c>
      <c r="CC95" s="152">
        <f t="shared" si="203"/>
        <v>0</v>
      </c>
      <c r="CD95" s="156">
        <f>SUM(CD96)</f>
        <v>0</v>
      </c>
      <c r="CE95" s="157">
        <f>SUM(CE96)</f>
        <v>35750000</v>
      </c>
      <c r="CF95" s="152">
        <f>SUM(CF96)</f>
        <v>0</v>
      </c>
      <c r="CG95" s="152">
        <f t="shared" ref="CG95:CM95" si="204">SUM(CG96)</f>
        <v>24750000</v>
      </c>
      <c r="CH95" s="152">
        <f t="shared" si="204"/>
        <v>0</v>
      </c>
      <c r="CI95" s="152">
        <f t="shared" si="204"/>
        <v>24750000</v>
      </c>
      <c r="CJ95" s="152">
        <f t="shared" si="204"/>
        <v>0</v>
      </c>
      <c r="CK95" s="152">
        <f t="shared" si="204"/>
        <v>0</v>
      </c>
      <c r="CL95" s="152">
        <f t="shared" si="204"/>
        <v>0</v>
      </c>
      <c r="CM95" s="152">
        <f t="shared" si="204"/>
        <v>0</v>
      </c>
      <c r="CN95" s="156">
        <f t="shared" si="182"/>
        <v>85250000</v>
      </c>
      <c r="CO95" s="158"/>
      <c r="CP95" s="160">
        <f>SUM(CP96)</f>
        <v>0</v>
      </c>
      <c r="CQ95" s="145"/>
      <c r="CR95" s="145"/>
      <c r="CS95" s="145"/>
      <c r="CT95" s="145"/>
      <c r="CU95" s="145"/>
      <c r="CV95" s="161">
        <f>SUM(CV96)</f>
        <v>85250000</v>
      </c>
      <c r="CW95" s="151"/>
      <c r="CX95" s="162"/>
    </row>
    <row r="96" spans="1:102" ht="26.1" customHeight="1" x14ac:dyDescent="0.25">
      <c r="A96" s="204" t="s">
        <v>94</v>
      </c>
      <c r="B96" s="362"/>
      <c r="C96" s="450" t="s">
        <v>94</v>
      </c>
      <c r="D96" s="451" t="s">
        <v>751</v>
      </c>
      <c r="E96" s="48" t="s">
        <v>2</v>
      </c>
      <c r="F96" s="48" t="s">
        <v>403</v>
      </c>
      <c r="G96" s="48" t="s">
        <v>393</v>
      </c>
      <c r="H96" s="94" t="s">
        <v>138</v>
      </c>
      <c r="I96" s="547" t="s">
        <v>245</v>
      </c>
      <c r="J96" s="548" t="s">
        <v>230</v>
      </c>
      <c r="K96" s="206"/>
      <c r="L96" s="207"/>
      <c r="M96" s="208"/>
      <c r="O96" s="204" t="s">
        <v>94</v>
      </c>
      <c r="P96" s="47" t="s">
        <v>3</v>
      </c>
      <c r="Q96" s="48" t="s">
        <v>403</v>
      </c>
      <c r="R96" s="48"/>
      <c r="S96" s="48" t="s">
        <v>314</v>
      </c>
      <c r="T96" s="48" t="s">
        <v>314</v>
      </c>
      <c r="U96" s="48" t="s">
        <v>307</v>
      </c>
      <c r="V96" s="48"/>
      <c r="W96" s="48"/>
      <c r="X96" s="48" t="s">
        <v>314</v>
      </c>
      <c r="Y96" s="48"/>
      <c r="Z96" s="48"/>
      <c r="AA96" s="48"/>
      <c r="AB96" s="48"/>
      <c r="AC96" s="48" t="s">
        <v>314</v>
      </c>
      <c r="AD96" s="48"/>
      <c r="AE96" s="48"/>
      <c r="AF96" s="209"/>
      <c r="AG96" s="47" t="s">
        <v>315</v>
      </c>
      <c r="AH96" s="210" t="s">
        <v>319</v>
      </c>
      <c r="AI96" s="68" t="s">
        <v>352</v>
      </c>
      <c r="AJ96" s="170">
        <v>0</v>
      </c>
      <c r="AK96" s="170">
        <v>0</v>
      </c>
      <c r="AL96" s="170">
        <v>0</v>
      </c>
      <c r="AM96" s="170">
        <v>0</v>
      </c>
      <c r="AN96" s="170">
        <v>0</v>
      </c>
      <c r="AO96" s="170">
        <v>0</v>
      </c>
      <c r="AP96" s="170">
        <v>0</v>
      </c>
      <c r="AQ96" s="170">
        <v>0</v>
      </c>
      <c r="AR96" s="170">
        <v>0</v>
      </c>
      <c r="AS96" s="170">
        <v>1</v>
      </c>
      <c r="AT96" s="170">
        <v>0</v>
      </c>
      <c r="AU96" s="170">
        <v>0</v>
      </c>
      <c r="AV96" s="170">
        <v>0</v>
      </c>
      <c r="AW96" s="170">
        <v>0</v>
      </c>
      <c r="AX96" s="170">
        <v>0</v>
      </c>
      <c r="AY96" s="170">
        <v>0</v>
      </c>
      <c r="AZ96" s="170">
        <v>0</v>
      </c>
      <c r="BA96" s="170">
        <v>0</v>
      </c>
      <c r="BB96" s="170"/>
      <c r="BC96" s="260"/>
      <c r="BD96" s="206" t="s">
        <v>334</v>
      </c>
      <c r="BE96" s="68" t="s">
        <v>321</v>
      </c>
      <c r="BF96" s="48" t="s">
        <v>313</v>
      </c>
      <c r="BG96" s="269">
        <f>50000*550</f>
        <v>27500000</v>
      </c>
      <c r="BH96" s="212">
        <v>0</v>
      </c>
      <c r="BI96" s="170">
        <v>0</v>
      </c>
      <c r="BJ96" s="170">
        <v>0</v>
      </c>
      <c r="BK96" s="170">
        <v>0</v>
      </c>
      <c r="BL96" s="170">
        <v>0</v>
      </c>
      <c r="BM96" s="170">
        <v>0</v>
      </c>
      <c r="BN96" s="170">
        <v>0</v>
      </c>
      <c r="BO96" s="170">
        <v>0</v>
      </c>
      <c r="BP96" s="170">
        <v>0</v>
      </c>
      <c r="BQ96" s="213">
        <f t="shared" si="197"/>
        <v>0</v>
      </c>
      <c r="BR96" s="245"/>
      <c r="BS96" s="48"/>
      <c r="BT96" s="48"/>
      <c r="BU96" s="243"/>
      <c r="BV96" s="212">
        <f>65000*550</f>
        <v>35750000</v>
      </c>
      <c r="BW96" s="170">
        <v>0</v>
      </c>
      <c r="BX96" s="170">
        <f>45000*550</f>
        <v>24750000</v>
      </c>
      <c r="BY96" s="170">
        <v>0</v>
      </c>
      <c r="BZ96" s="170">
        <f>45000*550</f>
        <v>24750000</v>
      </c>
      <c r="CA96" s="170">
        <v>0</v>
      </c>
      <c r="CB96" s="170">
        <v>0</v>
      </c>
      <c r="CC96" s="170">
        <v>0</v>
      </c>
      <c r="CD96" s="213">
        <v>0</v>
      </c>
      <c r="CE96" s="217">
        <f>+BV96-BH96</f>
        <v>35750000</v>
      </c>
      <c r="CF96" s="170">
        <f>+BW96-BI96</f>
        <v>0</v>
      </c>
      <c r="CG96" s="170">
        <f t="shared" ref="CG96:CM96" si="205">+BX96-BJ96</f>
        <v>24750000</v>
      </c>
      <c r="CH96" s="170">
        <f t="shared" si="205"/>
        <v>0</v>
      </c>
      <c r="CI96" s="170">
        <f t="shared" si="205"/>
        <v>24750000</v>
      </c>
      <c r="CJ96" s="170">
        <f t="shared" si="205"/>
        <v>0</v>
      </c>
      <c r="CK96" s="170">
        <f t="shared" si="205"/>
        <v>0</v>
      </c>
      <c r="CL96" s="170">
        <f t="shared" si="205"/>
        <v>0</v>
      </c>
      <c r="CM96" s="170">
        <f t="shared" si="205"/>
        <v>0</v>
      </c>
      <c r="CN96" s="218">
        <f t="shared" si="182"/>
        <v>85250000</v>
      </c>
      <c r="CO96" s="219"/>
      <c r="CP96" s="239"/>
      <c r="CQ96" s="239"/>
      <c r="CR96" s="210"/>
      <c r="CS96" s="210"/>
      <c r="CT96" s="210"/>
      <c r="CU96" s="210"/>
      <c r="CV96" s="221">
        <f>+CN96-CP96*550</f>
        <v>85250000</v>
      </c>
      <c r="CW96" s="222"/>
      <c r="CX96" s="246"/>
    </row>
    <row r="97" spans="1:102" ht="26.1" hidden="1" customHeight="1" x14ac:dyDescent="0.25">
      <c r="A97" s="143" t="s">
        <v>95</v>
      </c>
      <c r="B97" s="360"/>
      <c r="C97" s="447" t="s">
        <v>95</v>
      </c>
      <c r="D97" s="154" t="s">
        <v>752</v>
      </c>
      <c r="E97" s="448" t="s">
        <v>2</v>
      </c>
      <c r="F97" s="145"/>
      <c r="G97" s="60"/>
      <c r="H97" s="453"/>
      <c r="I97" s="549"/>
      <c r="J97" s="550"/>
      <c r="K97" s="147" t="s">
        <v>259</v>
      </c>
      <c r="L97" s="148"/>
      <c r="M97" s="149"/>
      <c r="O97" s="143" t="s">
        <v>95</v>
      </c>
      <c r="P97" s="150"/>
      <c r="Q97" s="145"/>
      <c r="R97" s="145"/>
      <c r="S97" s="145"/>
      <c r="T97" s="145"/>
      <c r="U97" s="145"/>
      <c r="V97" s="145"/>
      <c r="W97" s="145"/>
      <c r="X97" s="145"/>
      <c r="Y97" s="145"/>
      <c r="Z97" s="145"/>
      <c r="AA97" s="145"/>
      <c r="AB97" s="145"/>
      <c r="AC97" s="145"/>
      <c r="AD97" s="145"/>
      <c r="AE97" s="145"/>
      <c r="AF97" s="151"/>
      <c r="AG97" s="150"/>
      <c r="AH97" s="145"/>
      <c r="AI97" s="145"/>
      <c r="AJ97" s="152"/>
      <c r="AK97" s="152"/>
      <c r="AL97" s="152"/>
      <c r="AM97" s="152"/>
      <c r="AN97" s="152"/>
      <c r="AO97" s="152"/>
      <c r="AP97" s="152"/>
      <c r="AQ97" s="152"/>
      <c r="AR97" s="152"/>
      <c r="AS97" s="152"/>
      <c r="AT97" s="152"/>
      <c r="AU97" s="152"/>
      <c r="AV97" s="152"/>
      <c r="AW97" s="152"/>
      <c r="AX97" s="152"/>
      <c r="AY97" s="152"/>
      <c r="AZ97" s="152"/>
      <c r="BA97" s="152"/>
      <c r="BB97" s="152"/>
      <c r="BC97" s="254"/>
      <c r="BD97" s="150"/>
      <c r="BE97" s="154" t="s">
        <v>355</v>
      </c>
      <c r="BF97" s="155"/>
      <c r="BG97" s="156">
        <f>SUM(BG98)</f>
        <v>0</v>
      </c>
      <c r="BH97" s="157">
        <f>SUM(BH98)</f>
        <v>0</v>
      </c>
      <c r="BI97" s="152">
        <f>SUM(BI98)</f>
        <v>0</v>
      </c>
      <c r="BJ97" s="152">
        <f t="shared" ref="BJ97:BP97" si="206">SUM(BJ98)</f>
        <v>0</v>
      </c>
      <c r="BK97" s="152">
        <f t="shared" si="206"/>
        <v>0</v>
      </c>
      <c r="BL97" s="152">
        <f t="shared" si="206"/>
        <v>0</v>
      </c>
      <c r="BM97" s="152">
        <f t="shared" si="206"/>
        <v>0</v>
      </c>
      <c r="BN97" s="152">
        <f t="shared" si="206"/>
        <v>0</v>
      </c>
      <c r="BO97" s="152">
        <f t="shared" si="206"/>
        <v>0</v>
      </c>
      <c r="BP97" s="152">
        <f t="shared" si="206"/>
        <v>0</v>
      </c>
      <c r="BQ97" s="156">
        <f t="shared" si="197"/>
        <v>0</v>
      </c>
      <c r="BR97" s="158"/>
      <c r="BS97" s="145"/>
      <c r="BT97" s="145"/>
      <c r="BU97" s="159"/>
      <c r="BV97" s="157">
        <f>SUM(BV98)</f>
        <v>20625000</v>
      </c>
      <c r="BW97" s="152">
        <f>SUM(BW98)</f>
        <v>0</v>
      </c>
      <c r="BX97" s="152">
        <f t="shared" ref="BX97:CC97" si="207">SUM(BX98)</f>
        <v>0</v>
      </c>
      <c r="BY97" s="152">
        <f t="shared" si="207"/>
        <v>0</v>
      </c>
      <c r="BZ97" s="152">
        <f t="shared" si="207"/>
        <v>0</v>
      </c>
      <c r="CA97" s="152">
        <f t="shared" si="207"/>
        <v>0</v>
      </c>
      <c r="CB97" s="152">
        <f t="shared" si="207"/>
        <v>0</v>
      </c>
      <c r="CC97" s="152">
        <f t="shared" si="207"/>
        <v>0</v>
      </c>
      <c r="CD97" s="156">
        <f>SUM(CD98)</f>
        <v>0</v>
      </c>
      <c r="CE97" s="157">
        <f>SUM(CE98)</f>
        <v>20625000</v>
      </c>
      <c r="CF97" s="152">
        <f>SUM(CF98)</f>
        <v>0</v>
      </c>
      <c r="CG97" s="152">
        <f t="shared" ref="CG97:CM97" si="208">SUM(CG98)</f>
        <v>0</v>
      </c>
      <c r="CH97" s="152">
        <f t="shared" si="208"/>
        <v>0</v>
      </c>
      <c r="CI97" s="152">
        <f t="shared" si="208"/>
        <v>0</v>
      </c>
      <c r="CJ97" s="152">
        <f t="shared" si="208"/>
        <v>0</v>
      </c>
      <c r="CK97" s="152">
        <f t="shared" si="208"/>
        <v>0</v>
      </c>
      <c r="CL97" s="152">
        <f t="shared" si="208"/>
        <v>0</v>
      </c>
      <c r="CM97" s="152">
        <f t="shared" si="208"/>
        <v>0</v>
      </c>
      <c r="CN97" s="156">
        <f t="shared" si="182"/>
        <v>20625000</v>
      </c>
      <c r="CO97" s="158"/>
      <c r="CP97" s="160">
        <f>SUM(CP98)</f>
        <v>0</v>
      </c>
      <c r="CQ97" s="145"/>
      <c r="CR97" s="145"/>
      <c r="CS97" s="145"/>
      <c r="CT97" s="145"/>
      <c r="CU97" s="145"/>
      <c r="CV97" s="161">
        <f>SUM(CV98)</f>
        <v>20625000</v>
      </c>
      <c r="CW97" s="151"/>
      <c r="CX97" s="162"/>
    </row>
    <row r="98" spans="1:102" ht="26.1" customHeight="1" thickBot="1" x14ac:dyDescent="0.3">
      <c r="A98" s="204" t="s">
        <v>96</v>
      </c>
      <c r="B98" s="362"/>
      <c r="C98" s="460" t="s">
        <v>96</v>
      </c>
      <c r="D98" s="451" t="s">
        <v>753</v>
      </c>
      <c r="E98" s="356" t="s">
        <v>2</v>
      </c>
      <c r="F98" s="356" t="s">
        <v>403</v>
      </c>
      <c r="G98" s="356" t="s">
        <v>393</v>
      </c>
      <c r="H98" s="357" t="s">
        <v>139</v>
      </c>
      <c r="I98" s="557" t="s">
        <v>245</v>
      </c>
      <c r="J98" s="558" t="s">
        <v>230</v>
      </c>
      <c r="K98" s="347"/>
      <c r="L98" s="348"/>
      <c r="M98" s="349"/>
      <c r="O98" s="204" t="s">
        <v>96</v>
      </c>
      <c r="P98" s="47" t="s">
        <v>3</v>
      </c>
      <c r="Q98" s="48" t="s">
        <v>403</v>
      </c>
      <c r="R98" s="48" t="s">
        <v>314</v>
      </c>
      <c r="S98" s="48" t="s">
        <v>314</v>
      </c>
      <c r="T98" s="48" t="s">
        <v>314</v>
      </c>
      <c r="U98" s="48" t="s">
        <v>307</v>
      </c>
      <c r="V98" s="48"/>
      <c r="W98" s="48"/>
      <c r="X98" s="48" t="s">
        <v>314</v>
      </c>
      <c r="Y98" s="48"/>
      <c r="Z98" s="48"/>
      <c r="AA98" s="48"/>
      <c r="AB98" s="48"/>
      <c r="AC98" s="48"/>
      <c r="AD98" s="48"/>
      <c r="AE98" s="48"/>
      <c r="AF98" s="209"/>
      <c r="AG98" s="47" t="s">
        <v>315</v>
      </c>
      <c r="AH98" s="210" t="s">
        <v>319</v>
      </c>
      <c r="AI98" s="68" t="s">
        <v>353</v>
      </c>
      <c r="AJ98" s="170">
        <v>0</v>
      </c>
      <c r="AK98" s="170">
        <v>0</v>
      </c>
      <c r="AL98" s="170">
        <v>0</v>
      </c>
      <c r="AM98" s="170">
        <v>0</v>
      </c>
      <c r="AN98" s="170">
        <v>0</v>
      </c>
      <c r="AO98" s="170">
        <v>0</v>
      </c>
      <c r="AP98" s="170">
        <v>0</v>
      </c>
      <c r="AQ98" s="170">
        <v>0</v>
      </c>
      <c r="AR98" s="170">
        <v>0</v>
      </c>
      <c r="AS98" s="170">
        <v>1</v>
      </c>
      <c r="AT98" s="170">
        <v>0</v>
      </c>
      <c r="AU98" s="170">
        <v>0</v>
      </c>
      <c r="AV98" s="170">
        <v>0</v>
      </c>
      <c r="AW98" s="170">
        <v>0</v>
      </c>
      <c r="AX98" s="170">
        <v>0</v>
      </c>
      <c r="AY98" s="170">
        <v>0</v>
      </c>
      <c r="AZ98" s="170">
        <v>0</v>
      </c>
      <c r="BA98" s="170">
        <v>0</v>
      </c>
      <c r="BB98" s="170"/>
      <c r="BC98" s="260"/>
      <c r="BD98" s="206" t="s">
        <v>334</v>
      </c>
      <c r="BE98" s="68" t="s">
        <v>312</v>
      </c>
      <c r="BF98" s="48" t="s">
        <v>313</v>
      </c>
      <c r="BG98" s="241"/>
      <c r="BH98" s="212">
        <v>0</v>
      </c>
      <c r="BI98" s="170">
        <v>0</v>
      </c>
      <c r="BJ98" s="170">
        <v>0</v>
      </c>
      <c r="BK98" s="170">
        <v>0</v>
      </c>
      <c r="BL98" s="170">
        <v>0</v>
      </c>
      <c r="BM98" s="170">
        <v>0</v>
      </c>
      <c r="BN98" s="170">
        <v>0</v>
      </c>
      <c r="BO98" s="170">
        <v>0</v>
      </c>
      <c r="BP98" s="170">
        <v>0</v>
      </c>
      <c r="BQ98" s="213">
        <f t="shared" si="197"/>
        <v>0</v>
      </c>
      <c r="BR98" s="245"/>
      <c r="BS98" s="48"/>
      <c r="BT98" s="48"/>
      <c r="BU98" s="243"/>
      <c r="BV98" s="212">
        <f>5*5000*550+5*2500*550</f>
        <v>20625000</v>
      </c>
      <c r="BW98" s="170">
        <v>0</v>
      </c>
      <c r="BX98" s="170">
        <v>0</v>
      </c>
      <c r="BY98" s="170">
        <v>0</v>
      </c>
      <c r="BZ98" s="170">
        <v>0</v>
      </c>
      <c r="CA98" s="170">
        <v>0</v>
      </c>
      <c r="CB98" s="170">
        <v>0</v>
      </c>
      <c r="CC98" s="170">
        <v>0</v>
      </c>
      <c r="CD98" s="213">
        <v>0</v>
      </c>
      <c r="CE98" s="212">
        <f>5*5000*550+5*2500*550</f>
        <v>20625000</v>
      </c>
      <c r="CF98" s="170">
        <v>0</v>
      </c>
      <c r="CG98" s="170">
        <v>0</v>
      </c>
      <c r="CH98" s="170">
        <v>0</v>
      </c>
      <c r="CI98" s="170">
        <v>0</v>
      </c>
      <c r="CJ98" s="170">
        <v>0</v>
      </c>
      <c r="CK98" s="170">
        <v>0</v>
      </c>
      <c r="CL98" s="170">
        <v>0</v>
      </c>
      <c r="CM98" s="170">
        <v>0</v>
      </c>
      <c r="CN98" s="213">
        <f t="shared" si="182"/>
        <v>20625000</v>
      </c>
      <c r="CO98" s="219"/>
      <c r="CP98" s="220"/>
      <c r="CQ98" s="220"/>
      <c r="CR98" s="210"/>
      <c r="CS98" s="210"/>
      <c r="CT98" s="210"/>
      <c r="CU98" s="210"/>
      <c r="CV98" s="221">
        <f>+CN98-CP98*550</f>
        <v>20625000</v>
      </c>
      <c r="CW98" s="222"/>
      <c r="CX98" s="246"/>
    </row>
    <row r="99" spans="1:102" ht="26.1" customHeight="1" x14ac:dyDescent="0.25">
      <c r="BF99" s="350"/>
    </row>
    <row r="100" spans="1:102" ht="26.1" customHeight="1" x14ac:dyDescent="0.25">
      <c r="C100" s="351" t="s">
        <v>97</v>
      </c>
      <c r="D100" s="351"/>
      <c r="BF100" s="350"/>
    </row>
    <row r="101" spans="1:102" ht="26.1" customHeight="1" thickBot="1" x14ac:dyDescent="0.3">
      <c r="C101" s="352" t="s">
        <v>99</v>
      </c>
      <c r="D101" s="353"/>
      <c r="E101" s="354" t="s">
        <v>81</v>
      </c>
      <c r="F101" s="355"/>
      <c r="G101" s="356" t="s">
        <v>100</v>
      </c>
      <c r="H101" s="357" t="s">
        <v>141</v>
      </c>
      <c r="I101" s="53"/>
      <c r="J101" s="54" t="s">
        <v>230</v>
      </c>
      <c r="K101" s="347" t="s">
        <v>259</v>
      </c>
      <c r="L101" s="348"/>
      <c r="M101" s="349"/>
    </row>
    <row r="102" spans="1:102" ht="26.1" customHeight="1" x14ac:dyDescent="0.25">
      <c r="C102" s="204" t="s">
        <v>41</v>
      </c>
      <c r="D102" s="205" t="s">
        <v>357</v>
      </c>
      <c r="E102" s="47" t="s">
        <v>1</v>
      </c>
      <c r="F102" s="255"/>
      <c r="G102" s="77" t="s">
        <v>415</v>
      </c>
      <c r="H102" s="48" t="s">
        <v>114</v>
      </c>
      <c r="I102" s="67"/>
      <c r="J102" s="67"/>
    </row>
    <row r="104" spans="1:102" ht="13.5" thickBot="1" x14ac:dyDescent="0.3">
      <c r="B104" s="351" t="s">
        <v>179</v>
      </c>
      <c r="D104" s="350"/>
      <c r="I104" s="102"/>
    </row>
    <row r="105" spans="1:102" ht="13.5" thickBot="1" x14ac:dyDescent="0.3">
      <c r="B105" s="2" t="s">
        <v>177</v>
      </c>
      <c r="C105" s="3" t="s">
        <v>178</v>
      </c>
      <c r="D105" s="9"/>
      <c r="E105" s="78"/>
      <c r="I105" s="102"/>
    </row>
    <row r="106" spans="1:102" ht="51.75" thickBot="1" x14ac:dyDescent="0.3">
      <c r="B106" s="4" t="s">
        <v>187</v>
      </c>
      <c r="C106" s="5" t="s">
        <v>182</v>
      </c>
      <c r="D106" s="10"/>
      <c r="E106" s="570"/>
      <c r="I106" s="102"/>
    </row>
    <row r="107" spans="1:102" ht="24.75" customHeight="1" thickBot="1" x14ac:dyDescent="0.3">
      <c r="B107" s="4" t="s">
        <v>166</v>
      </c>
      <c r="C107" s="5" t="s">
        <v>171</v>
      </c>
      <c r="D107" s="10"/>
      <c r="E107" s="570"/>
      <c r="I107" s="102"/>
    </row>
    <row r="108" spans="1:102" ht="24" customHeight="1" thickBot="1" x14ac:dyDescent="0.3">
      <c r="B108" s="4" t="s">
        <v>167</v>
      </c>
      <c r="C108" s="5" t="s">
        <v>172</v>
      </c>
      <c r="D108" s="10"/>
      <c r="E108" s="570"/>
      <c r="I108" s="102"/>
    </row>
    <row r="109" spans="1:102" ht="52.5" customHeight="1" thickBot="1" x14ac:dyDescent="0.3">
      <c r="B109" s="4" t="s">
        <v>168</v>
      </c>
      <c r="C109" s="5" t="s">
        <v>184</v>
      </c>
      <c r="D109" s="10"/>
      <c r="E109" s="570"/>
      <c r="I109" s="102"/>
    </row>
    <row r="110" spans="1:102" ht="66" customHeight="1" thickBot="1" x14ac:dyDescent="0.3">
      <c r="B110" s="4" t="s">
        <v>169</v>
      </c>
      <c r="C110" s="5" t="s">
        <v>183</v>
      </c>
      <c r="D110" s="10"/>
      <c r="E110" s="570"/>
      <c r="I110" s="102"/>
    </row>
    <row r="111" spans="1:102" x14ac:dyDescent="0.25">
      <c r="A111" s="10"/>
      <c r="D111" s="350"/>
      <c r="I111" s="102"/>
    </row>
    <row r="112" spans="1:102" ht="15.75" customHeight="1" x14ac:dyDescent="0.25">
      <c r="A112" s="10"/>
      <c r="D112" s="350"/>
      <c r="I112" s="102"/>
    </row>
    <row r="113" spans="2:9" ht="26.25" customHeight="1" thickBot="1" x14ac:dyDescent="0.3">
      <c r="B113" s="358" t="s">
        <v>170</v>
      </c>
      <c r="C113" s="8"/>
      <c r="D113" s="8"/>
      <c r="E113" s="8"/>
      <c r="F113" s="6"/>
      <c r="I113" s="102"/>
    </row>
    <row r="114" spans="2:9" ht="26.25" thickBot="1" x14ac:dyDescent="0.3">
      <c r="B114" s="11" t="s">
        <v>180</v>
      </c>
      <c r="C114" s="12" t="s">
        <v>204</v>
      </c>
      <c r="D114" s="13" t="s">
        <v>226</v>
      </c>
      <c r="E114" s="13" t="s">
        <v>215</v>
      </c>
      <c r="I114" s="102"/>
    </row>
    <row r="115" spans="2:9" ht="38.25" x14ac:dyDescent="0.25">
      <c r="B115" s="14" t="s">
        <v>145</v>
      </c>
      <c r="C115" s="15" t="s">
        <v>185</v>
      </c>
      <c r="D115" s="16" t="s">
        <v>188</v>
      </c>
      <c r="E115" s="16" t="s">
        <v>216</v>
      </c>
      <c r="I115" s="102"/>
    </row>
    <row r="116" spans="2:9" ht="81" customHeight="1" x14ac:dyDescent="0.25">
      <c r="B116" s="17" t="s">
        <v>198</v>
      </c>
      <c r="C116" s="18" t="s">
        <v>175</v>
      </c>
      <c r="D116" s="19" t="s">
        <v>188</v>
      </c>
      <c r="E116" s="19" t="s">
        <v>217</v>
      </c>
      <c r="I116" s="102"/>
    </row>
    <row r="117" spans="2:9" ht="51" x14ac:dyDescent="0.25">
      <c r="B117" s="17" t="s">
        <v>146</v>
      </c>
      <c r="C117" s="18" t="s">
        <v>186</v>
      </c>
      <c r="D117" s="19" t="s">
        <v>188</v>
      </c>
      <c r="E117" s="19" t="s">
        <v>218</v>
      </c>
      <c r="I117" s="102"/>
    </row>
    <row r="118" spans="2:9" ht="77.25" thickBot="1" x14ac:dyDescent="0.3">
      <c r="B118" s="20" t="s">
        <v>174</v>
      </c>
      <c r="C118" s="21" t="s">
        <v>201</v>
      </c>
      <c r="D118" s="22" t="s">
        <v>188</v>
      </c>
      <c r="E118" s="22" t="s">
        <v>219</v>
      </c>
      <c r="I118" s="102"/>
    </row>
    <row r="119" spans="2:9" ht="51.75" thickBot="1" x14ac:dyDescent="0.3">
      <c r="B119" s="44" t="s">
        <v>165</v>
      </c>
      <c r="C119" s="45" t="s">
        <v>181</v>
      </c>
      <c r="D119" s="46" t="s">
        <v>176</v>
      </c>
      <c r="E119" s="46" t="s">
        <v>245</v>
      </c>
      <c r="I119" s="102"/>
    </row>
    <row r="120" spans="2:9" ht="89.25" x14ac:dyDescent="0.25">
      <c r="B120" s="29" t="s">
        <v>189</v>
      </c>
      <c r="C120" s="30" t="s">
        <v>190</v>
      </c>
      <c r="D120" s="31" t="s">
        <v>173</v>
      </c>
      <c r="E120" s="31" t="s">
        <v>222</v>
      </c>
      <c r="I120" s="102"/>
    </row>
    <row r="121" spans="2:9" ht="51" x14ac:dyDescent="0.25">
      <c r="B121" s="32" t="s">
        <v>191</v>
      </c>
      <c r="C121" s="33" t="s">
        <v>192</v>
      </c>
      <c r="D121" s="34" t="s">
        <v>173</v>
      </c>
      <c r="E121" s="34" t="s">
        <v>220</v>
      </c>
      <c r="I121" s="102"/>
    </row>
    <row r="122" spans="2:9" ht="38.25" x14ac:dyDescent="0.25">
      <c r="B122" s="32" t="s">
        <v>239</v>
      </c>
      <c r="C122" s="33" t="s">
        <v>240</v>
      </c>
      <c r="D122" s="34" t="s">
        <v>173</v>
      </c>
      <c r="E122" s="34" t="s">
        <v>229</v>
      </c>
      <c r="I122" s="102"/>
    </row>
    <row r="123" spans="2:9" ht="42.75" customHeight="1" x14ac:dyDescent="0.25">
      <c r="B123" s="32" t="s">
        <v>193</v>
      </c>
      <c r="C123" s="33" t="s">
        <v>194</v>
      </c>
      <c r="D123" s="34" t="s">
        <v>173</v>
      </c>
      <c r="E123" s="34" t="s">
        <v>223</v>
      </c>
      <c r="I123" s="102"/>
    </row>
    <row r="124" spans="2:9" ht="64.5" thickBot="1" x14ac:dyDescent="0.3">
      <c r="B124" s="35" t="s">
        <v>144</v>
      </c>
      <c r="C124" s="36" t="s">
        <v>238</v>
      </c>
      <c r="D124" s="37" t="s">
        <v>173</v>
      </c>
      <c r="E124" s="37" t="s">
        <v>221</v>
      </c>
      <c r="I124" s="102"/>
    </row>
    <row r="125" spans="2:9" ht="63.75" x14ac:dyDescent="0.25">
      <c r="B125" s="38" t="s">
        <v>199</v>
      </c>
      <c r="C125" s="39" t="s">
        <v>200</v>
      </c>
      <c r="D125" s="40" t="s">
        <v>196</v>
      </c>
      <c r="E125" s="40" t="s">
        <v>222</v>
      </c>
      <c r="I125" s="102"/>
    </row>
    <row r="126" spans="2:9" ht="39" thickBot="1" x14ac:dyDescent="0.3">
      <c r="B126" s="41" t="s">
        <v>195</v>
      </c>
      <c r="C126" s="42" t="s">
        <v>197</v>
      </c>
      <c r="D126" s="43" t="s">
        <v>196</v>
      </c>
      <c r="E126" s="43" t="s">
        <v>220</v>
      </c>
      <c r="I126" s="102"/>
    </row>
    <row r="127" spans="2:9" x14ac:dyDescent="0.25">
      <c r="I127" s="102"/>
    </row>
    <row r="128" spans="2:9" ht="13.5" thickBot="1" x14ac:dyDescent="0.3">
      <c r="B128" s="358" t="s">
        <v>202</v>
      </c>
      <c r="C128" s="8"/>
      <c r="D128" s="8"/>
      <c r="I128" s="102"/>
    </row>
    <row r="129" spans="1:9" ht="13.5" thickBot="1" x14ac:dyDescent="0.3">
      <c r="B129" s="11" t="s">
        <v>203</v>
      </c>
      <c r="C129" s="12" t="s">
        <v>204</v>
      </c>
      <c r="D129" s="13"/>
      <c r="E129" s="13" t="s">
        <v>215</v>
      </c>
      <c r="I129" s="102"/>
    </row>
    <row r="130" spans="1:9" ht="78" customHeight="1" x14ac:dyDescent="0.25">
      <c r="B130" s="366" t="s">
        <v>189</v>
      </c>
      <c r="C130" s="23" t="s">
        <v>205</v>
      </c>
      <c r="D130" s="24"/>
      <c r="E130" s="24" t="s">
        <v>222</v>
      </c>
      <c r="I130" s="102"/>
    </row>
    <row r="131" spans="1:9" ht="66" customHeight="1" x14ac:dyDescent="0.25">
      <c r="B131" s="367" t="s">
        <v>206</v>
      </c>
      <c r="C131" s="25" t="s">
        <v>207</v>
      </c>
      <c r="D131" s="26"/>
      <c r="E131" s="26" t="s">
        <v>214</v>
      </c>
      <c r="I131" s="102"/>
    </row>
    <row r="132" spans="1:9" ht="76.5" x14ac:dyDescent="0.25">
      <c r="B132" s="367" t="s">
        <v>208</v>
      </c>
      <c r="C132" s="25" t="s">
        <v>210</v>
      </c>
      <c r="D132" s="26"/>
      <c r="E132" s="26" t="s">
        <v>229</v>
      </c>
      <c r="I132" s="102"/>
    </row>
    <row r="133" spans="1:9" ht="54.75" customHeight="1" x14ac:dyDescent="0.25">
      <c r="B133" s="367" t="s">
        <v>209</v>
      </c>
      <c r="C133" s="25" t="s">
        <v>211</v>
      </c>
      <c r="D133" s="26"/>
      <c r="E133" s="26" t="s">
        <v>229</v>
      </c>
      <c r="I133" s="102"/>
    </row>
    <row r="134" spans="1:9" ht="80.25" customHeight="1" x14ac:dyDescent="0.25">
      <c r="B134" s="367" t="s">
        <v>212</v>
      </c>
      <c r="C134" s="25" t="s">
        <v>228</v>
      </c>
      <c r="D134" s="26"/>
      <c r="E134" s="26" t="s">
        <v>230</v>
      </c>
      <c r="I134" s="102"/>
    </row>
    <row r="135" spans="1:9" ht="30.75" customHeight="1" thickBot="1" x14ac:dyDescent="0.3">
      <c r="B135" s="368" t="s">
        <v>213</v>
      </c>
      <c r="C135" s="27" t="s">
        <v>227</v>
      </c>
      <c r="D135" s="28"/>
      <c r="E135" s="28" t="s">
        <v>230</v>
      </c>
      <c r="I135" s="102"/>
    </row>
    <row r="136" spans="1:9" x14ac:dyDescent="0.25">
      <c r="I136" s="102"/>
    </row>
    <row r="137" spans="1:9" x14ac:dyDescent="0.25">
      <c r="D137" s="350"/>
    </row>
    <row r="138" spans="1:9" s="6" customFormat="1" ht="24.95" customHeight="1" x14ac:dyDescent="0.25">
      <c r="A138" s="102"/>
      <c r="B138" s="102"/>
      <c r="C138" s="102"/>
      <c r="D138" s="350"/>
      <c r="E138" s="102"/>
    </row>
    <row r="139" spans="1:9" s="6" customFormat="1" ht="24.95" customHeight="1" x14ac:dyDescent="0.25">
      <c r="B139" s="351" t="s">
        <v>250</v>
      </c>
      <c r="C139" s="102"/>
      <c r="D139" s="435"/>
    </row>
    <row r="140" spans="1:9" s="6" customFormat="1" ht="24.95" customHeight="1" x14ac:dyDescent="0.25">
      <c r="B140" s="69" t="s">
        <v>147</v>
      </c>
      <c r="C140" s="69" t="s">
        <v>148</v>
      </c>
      <c r="D140" s="435"/>
    </row>
    <row r="141" spans="1:9" s="6" customFormat="1" ht="24.95" customHeight="1" x14ac:dyDescent="0.25">
      <c r="B141" s="68" t="s">
        <v>149</v>
      </c>
      <c r="C141" s="68" t="s">
        <v>150</v>
      </c>
      <c r="D141" s="435"/>
    </row>
    <row r="142" spans="1:9" s="6" customFormat="1" ht="24.95" customHeight="1" x14ac:dyDescent="0.25">
      <c r="B142" s="68" t="s">
        <v>151</v>
      </c>
      <c r="C142" s="68" t="s">
        <v>152</v>
      </c>
      <c r="D142" s="435"/>
    </row>
    <row r="143" spans="1:9" s="6" customFormat="1" ht="24.95" customHeight="1" x14ac:dyDescent="0.25">
      <c r="B143" s="68" t="s">
        <v>153</v>
      </c>
      <c r="C143" s="68" t="s">
        <v>152</v>
      </c>
      <c r="D143" s="435"/>
    </row>
    <row r="144" spans="1:9" s="6" customFormat="1" ht="24.95" customHeight="1" x14ac:dyDescent="0.25">
      <c r="B144" s="68" t="s">
        <v>154</v>
      </c>
      <c r="C144" s="68" t="s">
        <v>155</v>
      </c>
      <c r="D144" s="435"/>
    </row>
    <row r="145" spans="2:9" s="6" customFormat="1" ht="24.95" customHeight="1" x14ac:dyDescent="0.25">
      <c r="B145" s="68" t="s">
        <v>156</v>
      </c>
      <c r="C145" s="68" t="s">
        <v>157</v>
      </c>
      <c r="D145" s="435"/>
    </row>
    <row r="146" spans="2:9" s="6" customFormat="1" ht="24.95" customHeight="1" x14ac:dyDescent="0.25">
      <c r="B146" s="68" t="s">
        <v>158</v>
      </c>
      <c r="C146" s="68" t="s">
        <v>159</v>
      </c>
      <c r="D146" s="435"/>
    </row>
    <row r="147" spans="2:9" s="6" customFormat="1" ht="24.95" customHeight="1" x14ac:dyDescent="0.25">
      <c r="B147" s="68" t="s">
        <v>160</v>
      </c>
      <c r="C147" s="68" t="s">
        <v>161</v>
      </c>
      <c r="D147" s="435"/>
    </row>
    <row r="148" spans="2:9" x14ac:dyDescent="0.25">
      <c r="B148" s="68" t="s">
        <v>162</v>
      </c>
      <c r="C148" s="68" t="s">
        <v>163</v>
      </c>
      <c r="D148" s="435"/>
      <c r="E148" s="6"/>
      <c r="I148" s="102"/>
    </row>
    <row r="149" spans="2:9" ht="38.25" x14ac:dyDescent="0.25">
      <c r="B149" s="68" t="s">
        <v>164</v>
      </c>
      <c r="C149" s="68" t="s">
        <v>163</v>
      </c>
      <c r="D149" s="350"/>
      <c r="I149" s="102"/>
    </row>
  </sheetData>
  <mergeCells count="29">
    <mergeCell ref="E106:E110"/>
    <mergeCell ref="D2:D3"/>
    <mergeCell ref="AJ2:AR2"/>
    <mergeCell ref="AS2:BA2"/>
    <mergeCell ref="BH2:BQ2"/>
    <mergeCell ref="BE2:BE3"/>
    <mergeCell ref="BF2:BF3"/>
    <mergeCell ref="BG2:BG3"/>
    <mergeCell ref="Q2:Q3"/>
    <mergeCell ref="R2:AF2"/>
    <mergeCell ref="AG2:AG3"/>
    <mergeCell ref="AH2:AH3"/>
    <mergeCell ref="AI2:AI3"/>
    <mergeCell ref="P1:AF1"/>
    <mergeCell ref="AG1:BC1"/>
    <mergeCell ref="BD1:CW1"/>
    <mergeCell ref="CX1:CX3"/>
    <mergeCell ref="A2:A3"/>
    <mergeCell ref="C2:C3"/>
    <mergeCell ref="E2:H2"/>
    <mergeCell ref="K2:M2"/>
    <mergeCell ref="O2:O3"/>
    <mergeCell ref="P2:P3"/>
    <mergeCell ref="BR2:BU2"/>
    <mergeCell ref="BV2:CD2"/>
    <mergeCell ref="CE2:CN2"/>
    <mergeCell ref="CO2:CW2"/>
    <mergeCell ref="K3:M3"/>
    <mergeCell ref="BD2:BD3"/>
  </mergeCells>
  <conditionalFormatting sqref="H12 H71 H73 H79:H81 H83 H34:H35 H67:H68 H64 H62">
    <cfRule type="containsText" dxfId="318" priority="315" operator="containsText" text="x">
      <formula>NOT(ISERROR(SEARCH("x",H12)))</formula>
    </cfRule>
  </conditionalFormatting>
  <conditionalFormatting sqref="H86">
    <cfRule type="containsText" dxfId="317" priority="314" operator="containsText" text="x">
      <formula>NOT(ISERROR(SEARCH("x",H86)))</formula>
    </cfRule>
  </conditionalFormatting>
  <conditionalFormatting sqref="H92">
    <cfRule type="containsText" dxfId="316" priority="313" operator="containsText" text="x">
      <formula>NOT(ISERROR(SEARCH("x",H92)))</formula>
    </cfRule>
  </conditionalFormatting>
  <conditionalFormatting sqref="H93:H94">
    <cfRule type="containsText" dxfId="315" priority="312" operator="containsText" text="x">
      <formula>NOT(ISERROR(SEARCH("x",H93)))</formula>
    </cfRule>
  </conditionalFormatting>
  <conditionalFormatting sqref="H101">
    <cfRule type="containsText" dxfId="314" priority="311" operator="containsText" text="x">
      <formula>NOT(ISERROR(SEARCH("x",H101)))</formula>
    </cfRule>
  </conditionalFormatting>
  <conditionalFormatting sqref="H88">
    <cfRule type="containsText" dxfId="313" priority="310" operator="containsText" text="x">
      <formula>NOT(ISERROR(SEARCH("x",H88)))</formula>
    </cfRule>
  </conditionalFormatting>
  <conditionalFormatting sqref="H61">
    <cfRule type="containsText" dxfId="312" priority="309" operator="containsText" text="x">
      <formula>NOT(ISERROR(SEARCH("x",H61)))</formula>
    </cfRule>
  </conditionalFormatting>
  <conditionalFormatting sqref="H43">
    <cfRule type="containsText" dxfId="311" priority="308" operator="containsText" text="x">
      <formula>NOT(ISERROR(SEARCH("x",H43)))</formula>
    </cfRule>
  </conditionalFormatting>
  <conditionalFormatting sqref="H33">
    <cfRule type="containsText" dxfId="310" priority="307" operator="containsText" text="x">
      <formula>NOT(ISERROR(SEARCH("x",H33)))</formula>
    </cfRule>
  </conditionalFormatting>
  <conditionalFormatting sqref="H49">
    <cfRule type="containsText" dxfId="309" priority="306" operator="containsText" text="x">
      <formula>NOT(ISERROR(SEARCH("x",H49)))</formula>
    </cfRule>
  </conditionalFormatting>
  <conditionalFormatting sqref="H29">
    <cfRule type="containsText" dxfId="308" priority="305" operator="containsText" text="x">
      <formula>NOT(ISERROR(SEARCH("x",H29)))</formula>
    </cfRule>
  </conditionalFormatting>
  <conditionalFormatting sqref="H22">
    <cfRule type="containsText" dxfId="307" priority="304" operator="containsText" text="x">
      <formula>NOT(ISERROR(SEARCH("x",H22)))</formula>
    </cfRule>
  </conditionalFormatting>
  <conditionalFormatting sqref="H90">
    <cfRule type="containsText" dxfId="306" priority="303" operator="containsText" text="x">
      <formula>NOT(ISERROR(SEARCH("x",H90)))</formula>
    </cfRule>
  </conditionalFormatting>
  <conditionalFormatting sqref="H72">
    <cfRule type="containsText" dxfId="305" priority="301" operator="containsText" text="x">
      <formula>NOT(ISERROR(SEARCH("x",H72)))</formula>
    </cfRule>
  </conditionalFormatting>
  <conditionalFormatting sqref="H24">
    <cfRule type="containsText" dxfId="304" priority="297" operator="containsText" text="x">
      <formula>NOT(ISERROR(SEARCH("x",H24)))</formula>
    </cfRule>
  </conditionalFormatting>
  <conditionalFormatting sqref="H6:H7">
    <cfRule type="containsText" dxfId="303" priority="300" operator="containsText" text="x">
      <formula>NOT(ISERROR(SEARCH("x",H6)))</formula>
    </cfRule>
  </conditionalFormatting>
  <conditionalFormatting sqref="H47">
    <cfRule type="containsText" dxfId="302" priority="299" operator="containsText" text="x">
      <formula>NOT(ISERROR(SEARCH("x",H47)))</formula>
    </cfRule>
  </conditionalFormatting>
  <conditionalFormatting sqref="H44:H45">
    <cfRule type="containsText" dxfId="301" priority="298" operator="containsText" text="x">
      <formula>NOT(ISERROR(SEARCH("x",H44)))</formula>
    </cfRule>
  </conditionalFormatting>
  <conditionalFormatting sqref="H51">
    <cfRule type="containsText" dxfId="300" priority="296" operator="containsText" text="x">
      <formula>NOT(ISERROR(SEARCH("x",H51)))</formula>
    </cfRule>
  </conditionalFormatting>
  <conditionalFormatting sqref="H69">
    <cfRule type="containsText" dxfId="299" priority="295" operator="containsText" text="x">
      <formula>NOT(ISERROR(SEARCH("x",H69)))</formula>
    </cfRule>
  </conditionalFormatting>
  <conditionalFormatting sqref="H75">
    <cfRule type="containsText" dxfId="298" priority="294" operator="containsText" text="x">
      <formula>NOT(ISERROR(SEARCH("x",H75)))</formula>
    </cfRule>
  </conditionalFormatting>
  <conditionalFormatting sqref="H98">
    <cfRule type="containsText" dxfId="297" priority="293" operator="containsText" text="x">
      <formula>NOT(ISERROR(SEARCH("x",H98)))</formula>
    </cfRule>
  </conditionalFormatting>
  <conditionalFormatting sqref="H8">
    <cfRule type="containsText" dxfId="296" priority="292" operator="containsText" text="x">
      <formula>NOT(ISERROR(SEARCH("x",H8)))</formula>
    </cfRule>
  </conditionalFormatting>
  <conditionalFormatting sqref="H40">
    <cfRule type="containsText" dxfId="295" priority="291" operator="containsText" text="x">
      <formula>NOT(ISERROR(SEARCH("x",H40)))</formula>
    </cfRule>
  </conditionalFormatting>
  <conditionalFormatting sqref="H53">
    <cfRule type="containsText" dxfId="294" priority="290" operator="containsText" text="x">
      <formula>NOT(ISERROR(SEARCH("x",H53)))</formula>
    </cfRule>
  </conditionalFormatting>
  <conditionalFormatting sqref="H58">
    <cfRule type="containsText" dxfId="293" priority="289" operator="containsText" text="x">
      <formula>NOT(ISERROR(SEARCH("x",H58)))</formula>
    </cfRule>
  </conditionalFormatting>
  <conditionalFormatting sqref="BE49">
    <cfRule type="containsText" dxfId="292" priority="283" operator="containsText" text="L3 - Subprograms (in planning)">
      <formula>NOT(ISERROR(SEARCH("L3 - Subprograms (in planning)",BE49)))</formula>
    </cfRule>
    <cfRule type="containsText" dxfId="291" priority="284" operator="containsText" text="L3 - Subprograms (w/plans)">
      <formula>NOT(ISERROR(SEARCH("L3 - Subprograms (w/plans)",BE49)))</formula>
    </cfRule>
    <cfRule type="containsText" dxfId="290" priority="285" operator="containsText" text="L2 - Policies and Strategies REDD+ and Land-use">
      <formula>NOT(ISERROR(SEARCH("L2 - Policies and Strategies REDD+ and Land-use",BE49)))</formula>
    </cfRule>
    <cfRule type="containsText" dxfId="289" priority="286" operator="containsText" text="TBD/??">
      <formula>NOT(ISERROR(SEARCH("TBD/??",BE49)))</formula>
    </cfRule>
    <cfRule type="containsText" dxfId="288" priority="287" operator="containsText" text="L1 - REDD+ Program Admin and Mgt">
      <formula>NOT(ISERROR(SEARCH("L1 - REDD+ Program Admin and Mgt",BE49)))</formula>
    </cfRule>
  </conditionalFormatting>
  <conditionalFormatting sqref="R49:AF49">
    <cfRule type="containsText" dxfId="287" priority="282" operator="containsText" text="x">
      <formula>NOT(ISERROR(SEARCH("x",R49)))</formula>
    </cfRule>
  </conditionalFormatting>
  <conditionalFormatting sqref="BE64">
    <cfRule type="containsText" dxfId="286" priority="277" operator="containsText" text="L3 - Subprograms (in planning)">
      <formula>NOT(ISERROR(SEARCH("L3 - Subprograms (in planning)",BE64)))</formula>
    </cfRule>
    <cfRule type="containsText" dxfId="285" priority="278" operator="containsText" text="L3 - Subprograms (w/plans)">
      <formula>NOT(ISERROR(SEARCH("L3 - Subprograms (w/plans)",BE64)))</formula>
    </cfRule>
    <cfRule type="containsText" dxfId="284" priority="279" operator="containsText" text="L2 - Policies and Strategies REDD+ and Land-use">
      <formula>NOT(ISERROR(SEARCH("L2 - Policies and Strategies REDD+ and Land-use",BE64)))</formula>
    </cfRule>
    <cfRule type="containsText" dxfId="283" priority="280" operator="containsText" text="TBD/??">
      <formula>NOT(ISERROR(SEARCH("TBD/??",BE64)))</formula>
    </cfRule>
    <cfRule type="containsText" dxfId="282" priority="281" operator="containsText" text="L1 - REDD+ Program Admin and Mgt">
      <formula>NOT(ISERROR(SEARCH("L1 - REDD+ Program Admin and Mgt",BE64)))</formula>
    </cfRule>
  </conditionalFormatting>
  <conditionalFormatting sqref="R64:AF64">
    <cfRule type="containsText" dxfId="281" priority="276" operator="containsText" text="x">
      <formula>NOT(ISERROR(SEARCH("x",R64)))</formula>
    </cfRule>
  </conditionalFormatting>
  <conditionalFormatting sqref="BE35">
    <cfRule type="containsText" dxfId="280" priority="261" operator="containsText" text="L3 - Subprograms (in planning)">
      <formula>NOT(ISERROR(SEARCH("L3 - Subprograms (in planning)",BE35)))</formula>
    </cfRule>
    <cfRule type="containsText" dxfId="279" priority="262" operator="containsText" text="L3 - Subprograms (w/plans)">
      <formula>NOT(ISERROR(SEARCH("L3 - Subprograms (w/plans)",BE35)))</formula>
    </cfRule>
    <cfRule type="containsText" dxfId="278" priority="263" operator="containsText" text="L2 - Policies and Strategies REDD+ and Land-use">
      <formula>NOT(ISERROR(SEARCH("L2 - Policies and Strategies REDD+ and Land-use",BE35)))</formula>
    </cfRule>
    <cfRule type="containsText" dxfId="277" priority="264" operator="containsText" text="TBD/??">
      <formula>NOT(ISERROR(SEARCH("TBD/??",BE35)))</formula>
    </cfRule>
    <cfRule type="containsText" dxfId="276" priority="265" operator="containsText" text="L1 - REDD+ Program Admin and Mgt">
      <formula>NOT(ISERROR(SEARCH("L1 - REDD+ Program Admin and Mgt",BE35)))</formula>
    </cfRule>
  </conditionalFormatting>
  <conditionalFormatting sqref="R81:AF81">
    <cfRule type="containsText" dxfId="275" priority="275" operator="containsText" text="x">
      <formula>NOT(ISERROR(SEARCH("x",R81)))</formula>
    </cfRule>
  </conditionalFormatting>
  <conditionalFormatting sqref="BE88">
    <cfRule type="containsText" dxfId="274" priority="270" operator="containsText" text="L3 - Subprograms (in planning)">
      <formula>NOT(ISERROR(SEARCH("L3 - Subprograms (in planning)",BE88)))</formula>
    </cfRule>
    <cfRule type="containsText" dxfId="273" priority="271" operator="containsText" text="L3 - Subprograms (w/plans)">
      <formula>NOT(ISERROR(SEARCH("L3 - Subprograms (w/plans)",BE88)))</formula>
    </cfRule>
    <cfRule type="containsText" dxfId="272" priority="272" operator="containsText" text="L2 - Policies and Strategies REDD+ and Land-use">
      <formula>NOT(ISERROR(SEARCH("L2 - Policies and Strategies REDD+ and Land-use",BE88)))</formula>
    </cfRule>
    <cfRule type="containsText" dxfId="271" priority="273" operator="containsText" text="TBD/??">
      <formula>NOT(ISERROR(SEARCH("TBD/??",BE88)))</formula>
    </cfRule>
    <cfRule type="containsText" dxfId="270" priority="274" operator="containsText" text="L1 - REDD+ Program Admin and Mgt">
      <formula>NOT(ISERROR(SEARCH("L1 - REDD+ Program Admin and Mgt",BE88)))</formula>
    </cfRule>
  </conditionalFormatting>
  <conditionalFormatting sqref="R88:AF88">
    <cfRule type="containsText" dxfId="269" priority="269" operator="containsText" text="x">
      <formula>NOT(ISERROR(SEARCH("x",R88)))</formula>
    </cfRule>
  </conditionalFormatting>
  <conditionalFormatting sqref="R67:AF68">
    <cfRule type="containsText" dxfId="268" priority="268" operator="containsText" text="x">
      <formula>NOT(ISERROR(SEARCH("x",R67)))</formula>
    </cfRule>
  </conditionalFormatting>
  <conditionalFormatting sqref="BE28">
    <cfRule type="containsText" dxfId="267" priority="201" operator="containsText" text="L3 - Subprograms (in planning)">
      <formula>NOT(ISERROR(SEARCH("L3 - Subprograms (in planning)",BE28)))</formula>
    </cfRule>
    <cfRule type="containsText" dxfId="266" priority="202" operator="containsText" text="L3 - Subprograms (w/plans)">
      <formula>NOT(ISERROR(SEARCH("L3 - Subprograms (w/plans)",BE28)))</formula>
    </cfRule>
    <cfRule type="containsText" dxfId="265" priority="203" operator="containsText" text="L2 - Policies and Strategies REDD+ and Land-use">
      <formula>NOT(ISERROR(SEARCH("L2 - Policies and Strategies REDD+ and Land-use",BE28)))</formula>
    </cfRule>
    <cfRule type="containsText" dxfId="264" priority="204" operator="containsText" text="TBD/??">
      <formula>NOT(ISERROR(SEARCH("TBD/??",BE28)))</formula>
    </cfRule>
    <cfRule type="containsText" dxfId="263" priority="205" operator="containsText" text="L1 - REDD+ Program Admin and Mgt">
      <formula>NOT(ISERROR(SEARCH("L1 - REDD+ Program Admin and Mgt",BE28)))</formula>
    </cfRule>
  </conditionalFormatting>
  <conditionalFormatting sqref="R71:AF71">
    <cfRule type="containsText" dxfId="262" priority="267" operator="containsText" text="x">
      <formula>NOT(ISERROR(SEARCH("x",R71)))</formula>
    </cfRule>
  </conditionalFormatting>
  <conditionalFormatting sqref="R73:AF73">
    <cfRule type="containsText" dxfId="261" priority="266" operator="containsText" text="x">
      <formula>NOT(ISERROR(SEARCH("x",R73)))</formula>
    </cfRule>
  </conditionalFormatting>
  <conditionalFormatting sqref="R35:AF35">
    <cfRule type="containsText" dxfId="260" priority="260" operator="containsText" text="x">
      <formula>NOT(ISERROR(SEARCH("x",R35)))</formula>
    </cfRule>
  </conditionalFormatting>
  <conditionalFormatting sqref="R40:AF40">
    <cfRule type="containsText" dxfId="259" priority="254" operator="containsText" text="x">
      <formula>NOT(ISERROR(SEARCH("x",R40)))</formula>
    </cfRule>
  </conditionalFormatting>
  <conditionalFormatting sqref="BE40">
    <cfRule type="containsText" dxfId="258" priority="255" operator="containsText" text="L3 - Subprograms (in planning)">
      <formula>NOT(ISERROR(SEARCH("L3 - Subprograms (in planning)",BE40)))</formula>
    </cfRule>
    <cfRule type="containsText" dxfId="257" priority="256" operator="containsText" text="L3 - Subprograms (w/plans)">
      <formula>NOT(ISERROR(SEARCH("L3 - Subprograms (w/plans)",BE40)))</formula>
    </cfRule>
    <cfRule type="containsText" dxfId="256" priority="257" operator="containsText" text="L2 - Policies and Strategies REDD+ and Land-use">
      <formula>NOT(ISERROR(SEARCH("L2 - Policies and Strategies REDD+ and Land-use",BE40)))</formula>
    </cfRule>
    <cfRule type="containsText" dxfId="255" priority="258" operator="containsText" text="TBD/??">
      <formula>NOT(ISERROR(SEARCH("TBD/??",BE40)))</formula>
    </cfRule>
    <cfRule type="containsText" dxfId="254" priority="259" operator="containsText" text="L1 - REDD+ Program Admin and Mgt">
      <formula>NOT(ISERROR(SEARCH("L1 - REDD+ Program Admin and Mgt",BE40)))</formula>
    </cfRule>
  </conditionalFormatting>
  <conditionalFormatting sqref="R22:AF22">
    <cfRule type="containsText" dxfId="253" priority="253" operator="containsText" text="x">
      <formula>NOT(ISERROR(SEARCH("x",R22)))</formula>
    </cfRule>
  </conditionalFormatting>
  <conditionalFormatting sqref="R51:AF51">
    <cfRule type="containsText" dxfId="252" priority="252" operator="containsText" text="x">
      <formula>NOT(ISERROR(SEARCH("x",R51)))</formula>
    </cfRule>
  </conditionalFormatting>
  <conditionalFormatting sqref="R62:AF62">
    <cfRule type="containsText" dxfId="251" priority="251" operator="containsText" text="x">
      <formula>NOT(ISERROR(SEARCH("x",R62)))</formula>
    </cfRule>
  </conditionalFormatting>
  <conditionalFormatting sqref="BE29">
    <cfRule type="containsText" dxfId="250" priority="221" operator="containsText" text="L3 - Subprograms (in planning)">
      <formula>NOT(ISERROR(SEARCH("L3 - Subprograms (in planning)",BE29)))</formula>
    </cfRule>
    <cfRule type="containsText" dxfId="249" priority="222" operator="containsText" text="L3 - Subprograms (w/plans)">
      <formula>NOT(ISERROR(SEARCH("L3 - Subprograms (w/plans)",BE29)))</formula>
    </cfRule>
    <cfRule type="containsText" dxfId="248" priority="223" operator="containsText" text="L2 - Policies and Strategies REDD+ and Land-use">
      <formula>NOT(ISERROR(SEARCH("L2 - Policies and Strategies REDD+ and Land-use",BE29)))</formula>
    </cfRule>
    <cfRule type="containsText" dxfId="247" priority="224" operator="containsText" text="TBD/??">
      <formula>NOT(ISERROR(SEARCH("TBD/??",BE29)))</formula>
    </cfRule>
    <cfRule type="containsText" dxfId="246" priority="225" operator="containsText" text="L1 - REDD+ Program Admin and Mgt">
      <formula>NOT(ISERROR(SEARCH("L1 - REDD+ Program Admin and Mgt",BE29)))</formula>
    </cfRule>
  </conditionalFormatting>
  <conditionalFormatting sqref="R69:AF69">
    <cfRule type="containsText" dxfId="245" priority="250" operator="containsText" text="x">
      <formula>NOT(ISERROR(SEARCH("x",R69)))</formula>
    </cfRule>
  </conditionalFormatting>
  <conditionalFormatting sqref="BE83">
    <cfRule type="containsText" dxfId="244" priority="244" operator="containsText" text="L3 - Subprograms (in planning)">
      <formula>NOT(ISERROR(SEARCH("L3 - Subprograms (in planning)",BE83)))</formula>
    </cfRule>
    <cfRule type="containsText" dxfId="243" priority="245" operator="containsText" text="L3 - Subprograms (w/plans)">
      <formula>NOT(ISERROR(SEARCH("L3 - Subprograms (w/plans)",BE83)))</formula>
    </cfRule>
    <cfRule type="containsText" dxfId="242" priority="246" operator="containsText" text="L2 - Policies and Strategies REDD+ and Land-use">
      <formula>NOT(ISERROR(SEARCH("L2 - Policies and Strategies REDD+ and Land-use",BE83)))</formula>
    </cfRule>
    <cfRule type="containsText" dxfId="241" priority="247" operator="containsText" text="TBD/??">
      <formula>NOT(ISERROR(SEARCH("TBD/??",BE83)))</formula>
    </cfRule>
    <cfRule type="containsText" dxfId="240" priority="248" operator="containsText" text="L1 - REDD+ Program Admin and Mgt">
      <formula>NOT(ISERROR(SEARCH("L1 - REDD+ Program Admin and Mgt",BE83)))</formula>
    </cfRule>
  </conditionalFormatting>
  <conditionalFormatting sqref="R83:AF83">
    <cfRule type="containsText" dxfId="239" priority="243" operator="containsText" text="x">
      <formula>NOT(ISERROR(SEARCH("x",R83)))</formula>
    </cfRule>
  </conditionalFormatting>
  <conditionalFormatting sqref="R86:AF86">
    <cfRule type="containsText" dxfId="238" priority="241" operator="containsText" text="x">
      <formula>NOT(ISERROR(SEARCH("x",R86)))</formula>
    </cfRule>
  </conditionalFormatting>
  <conditionalFormatting sqref="R90:AF90">
    <cfRule type="containsText" dxfId="237" priority="240" operator="containsText" text="x">
      <formula>NOT(ISERROR(SEARCH("x",R90)))</formula>
    </cfRule>
  </conditionalFormatting>
  <conditionalFormatting sqref="BE92">
    <cfRule type="containsText" dxfId="236" priority="235" operator="containsText" text="L3 - Subprograms (in planning)">
      <formula>NOT(ISERROR(SEARCH("L3 - Subprograms (in planning)",BE92)))</formula>
    </cfRule>
    <cfRule type="containsText" dxfId="235" priority="236" operator="containsText" text="L3 - Subprograms (w/plans)">
      <formula>NOT(ISERROR(SEARCH("L3 - Subprograms (w/plans)",BE92)))</formula>
    </cfRule>
    <cfRule type="containsText" dxfId="234" priority="237" operator="containsText" text="L2 - Policies and Strategies REDD+ and Land-use">
      <formula>NOT(ISERROR(SEARCH("L2 - Policies and Strategies REDD+ and Land-use",BE92)))</formula>
    </cfRule>
    <cfRule type="containsText" dxfId="233" priority="238" operator="containsText" text="TBD/??">
      <formula>NOT(ISERROR(SEARCH("TBD/??",BE92)))</formula>
    </cfRule>
    <cfRule type="containsText" dxfId="232" priority="239" operator="containsText" text="L1 - REDD+ Program Admin and Mgt">
      <formula>NOT(ISERROR(SEARCH("L1 - REDD+ Program Admin and Mgt",BE92)))</formula>
    </cfRule>
  </conditionalFormatting>
  <conditionalFormatting sqref="R92:AF92">
    <cfRule type="containsText" dxfId="231" priority="234" operator="containsText" text="x">
      <formula>NOT(ISERROR(SEARCH("x",R92)))</formula>
    </cfRule>
  </conditionalFormatting>
  <conditionalFormatting sqref="BE93">
    <cfRule type="containsText" dxfId="230" priority="229" operator="containsText" text="L3 - Subprograms (in planning)">
      <formula>NOT(ISERROR(SEARCH("L3 - Subprograms (in planning)",BE93)))</formula>
    </cfRule>
    <cfRule type="containsText" dxfId="229" priority="230" operator="containsText" text="L3 - Subprograms (w/plans)">
      <formula>NOT(ISERROR(SEARCH("L3 - Subprograms (w/plans)",BE93)))</formula>
    </cfRule>
    <cfRule type="containsText" dxfId="228" priority="231" operator="containsText" text="L2 - Policies and Strategies REDD+ and Land-use">
      <formula>NOT(ISERROR(SEARCH("L2 - Policies and Strategies REDD+ and Land-use",BE93)))</formula>
    </cfRule>
    <cfRule type="containsText" dxfId="227" priority="232" operator="containsText" text="TBD/??">
      <formula>NOT(ISERROR(SEARCH("TBD/??",BE93)))</formula>
    </cfRule>
    <cfRule type="containsText" dxfId="226" priority="233" operator="containsText" text="L1 - REDD+ Program Admin and Mgt">
      <formula>NOT(ISERROR(SEARCH("L1 - REDD+ Program Admin and Mgt",BE93)))</formula>
    </cfRule>
  </conditionalFormatting>
  <conditionalFormatting sqref="R93:AF94">
    <cfRule type="containsText" dxfId="225" priority="228" operator="containsText" text="x">
      <formula>NOT(ISERROR(SEARCH("x",R93)))</formula>
    </cfRule>
  </conditionalFormatting>
  <conditionalFormatting sqref="R98:AF98">
    <cfRule type="containsText" dxfId="224" priority="226" operator="containsText" text="x">
      <formula>NOT(ISERROR(SEARCH("x",R98)))</formula>
    </cfRule>
  </conditionalFormatting>
  <conditionalFormatting sqref="R29:S29 U29:AF29">
    <cfRule type="containsText" dxfId="223" priority="220" operator="containsText" text="x">
      <formula>NOT(ISERROR(SEARCH("x",R29)))</formula>
    </cfRule>
  </conditionalFormatting>
  <conditionalFormatting sqref="R34:AF34">
    <cfRule type="containsText" dxfId="222" priority="219" operator="containsText" text="x">
      <formula>NOT(ISERROR(SEARCH("x",R34)))</formula>
    </cfRule>
  </conditionalFormatting>
  <conditionalFormatting sqref="BE33">
    <cfRule type="containsText" dxfId="221" priority="214" operator="containsText" text="L3 - Subprograms (in planning)">
      <formula>NOT(ISERROR(SEARCH("L3 - Subprograms (in planning)",BE33)))</formula>
    </cfRule>
    <cfRule type="containsText" dxfId="220" priority="215" operator="containsText" text="L3 - Subprograms (w/plans)">
      <formula>NOT(ISERROR(SEARCH("L3 - Subprograms (w/plans)",BE33)))</formula>
    </cfRule>
    <cfRule type="containsText" dxfId="219" priority="216" operator="containsText" text="L2 - Policies and Strategies REDD+ and Land-use">
      <formula>NOT(ISERROR(SEARCH("L2 - Policies and Strategies REDD+ and Land-use",BE33)))</formula>
    </cfRule>
    <cfRule type="containsText" dxfId="218" priority="217" operator="containsText" text="TBD/??">
      <formula>NOT(ISERROR(SEARCH("TBD/??",BE33)))</formula>
    </cfRule>
    <cfRule type="containsText" dxfId="217" priority="218" operator="containsText" text="L1 - REDD+ Program Admin and Mgt">
      <formula>NOT(ISERROR(SEARCH("L1 - REDD+ Program Admin and Mgt",BE33)))</formula>
    </cfRule>
  </conditionalFormatting>
  <conditionalFormatting sqref="R33 W33:AF33">
    <cfRule type="containsText" dxfId="216" priority="213" operator="containsText" text="x">
      <formula>NOT(ISERROR(SEARCH("x",R33)))</formula>
    </cfRule>
  </conditionalFormatting>
  <conditionalFormatting sqref="R6:AF7">
    <cfRule type="containsText" dxfId="215" priority="212" operator="containsText" text="x">
      <formula>NOT(ISERROR(SEARCH("x",R6)))</formula>
    </cfRule>
  </conditionalFormatting>
  <conditionalFormatting sqref="R24:AF24">
    <cfRule type="containsText" dxfId="214" priority="211" operator="containsText" text="x">
      <formula>NOT(ISERROR(SEARCH("x",R24)))</formula>
    </cfRule>
  </conditionalFormatting>
  <conditionalFormatting sqref="BE75">
    <cfRule type="containsText" dxfId="213" priority="81" operator="containsText" text="L3 - Subprograms (in planning)">
      <formula>NOT(ISERROR(SEARCH("L3 - Subprograms (in planning)",BE75)))</formula>
    </cfRule>
    <cfRule type="containsText" dxfId="212" priority="82" operator="containsText" text="L3 - Subprograms (w/plans)">
      <formula>NOT(ISERROR(SEARCH("L3 - Subprograms (w/plans)",BE75)))</formula>
    </cfRule>
    <cfRule type="containsText" dxfId="211" priority="83" operator="containsText" text="L2 - Policies and Strategies REDD+ and Land-use">
      <formula>NOT(ISERROR(SEARCH("L2 - Policies and Strategies REDD+ and Land-use",BE75)))</formula>
    </cfRule>
    <cfRule type="containsText" dxfId="210" priority="84" operator="containsText" text="TBD/??">
      <formula>NOT(ISERROR(SEARCH("TBD/??",BE75)))</formula>
    </cfRule>
    <cfRule type="containsText" dxfId="209" priority="85" operator="containsText" text="L1 - REDD+ Program Admin and Mgt">
      <formula>NOT(ISERROR(SEARCH("L1 - REDD+ Program Admin and Mgt",BE75)))</formula>
    </cfRule>
  </conditionalFormatting>
  <conditionalFormatting sqref="BE6:BE7">
    <cfRule type="containsText" dxfId="208" priority="206" operator="containsText" text="L3 - Subprograms (in planning)">
      <formula>NOT(ISERROR(SEARCH("L3 - Subprograms (in planning)",BE6)))</formula>
    </cfRule>
    <cfRule type="containsText" dxfId="207" priority="207" operator="containsText" text="L3 - Subprograms (w/plans)">
      <formula>NOT(ISERROR(SEARCH("L3 - Subprograms (w/plans)",BE6)))</formula>
    </cfRule>
    <cfRule type="containsText" dxfId="206" priority="208" operator="containsText" text="L2 - Policies and Strategies REDD+ and Land-use">
      <formula>NOT(ISERROR(SEARCH("L2 - Policies and Strategies REDD+ and Land-use",BE6)))</formula>
    </cfRule>
    <cfRule type="containsText" dxfId="205" priority="209" operator="containsText" text="TBD/??">
      <formula>NOT(ISERROR(SEARCH("TBD/??",BE6)))</formula>
    </cfRule>
    <cfRule type="containsText" dxfId="204" priority="210" operator="containsText" text="L1 - REDD+ Program Admin and Mgt">
      <formula>NOT(ISERROR(SEARCH("L1 - REDD+ Program Admin and Mgt",BE6)))</formula>
    </cfRule>
  </conditionalFormatting>
  <conditionalFormatting sqref="BE51">
    <cfRule type="containsText" dxfId="203" priority="196" operator="containsText" text="L3 - Subprograms (in planning)">
      <formula>NOT(ISERROR(SEARCH("L3 - Subprograms (in planning)",BE51)))</formula>
    </cfRule>
    <cfRule type="containsText" dxfId="202" priority="197" operator="containsText" text="L3 - Subprograms (w/plans)">
      <formula>NOT(ISERROR(SEARCH("L3 - Subprograms (w/plans)",BE51)))</formula>
    </cfRule>
    <cfRule type="containsText" dxfId="201" priority="198" operator="containsText" text="L2 - Policies and Strategies REDD+ and Land-use">
      <formula>NOT(ISERROR(SEARCH("L2 - Policies and Strategies REDD+ and Land-use",BE51)))</formula>
    </cfRule>
    <cfRule type="containsText" dxfId="200" priority="199" operator="containsText" text="TBD/??">
      <formula>NOT(ISERROR(SEARCH("TBD/??",BE51)))</formula>
    </cfRule>
    <cfRule type="containsText" dxfId="199" priority="200" operator="containsText" text="L1 - REDD+ Program Admin and Mgt">
      <formula>NOT(ISERROR(SEARCH("L1 - REDD+ Program Admin and Mgt",BE51)))</formula>
    </cfRule>
  </conditionalFormatting>
  <conditionalFormatting sqref="BE98">
    <cfRule type="containsText" dxfId="198" priority="191" operator="containsText" text="L3 - Subprograms (in planning)">
      <formula>NOT(ISERROR(SEARCH("L3 - Subprograms (in planning)",BE98)))</formula>
    </cfRule>
    <cfRule type="containsText" dxfId="197" priority="192" operator="containsText" text="L3 - Subprograms (w/plans)">
      <formula>NOT(ISERROR(SEARCH("L3 - Subprograms (w/plans)",BE98)))</formula>
    </cfRule>
    <cfRule type="containsText" dxfId="196" priority="193" operator="containsText" text="L2 - Policies and Strategies REDD+ and Land-use">
      <formula>NOT(ISERROR(SEARCH("L2 - Policies and Strategies REDD+ and Land-use",BE98)))</formula>
    </cfRule>
    <cfRule type="containsText" dxfId="195" priority="194" operator="containsText" text="TBD/??">
      <formula>NOT(ISERROR(SEARCH("TBD/??",BE98)))</formula>
    </cfRule>
    <cfRule type="containsText" dxfId="194" priority="195" operator="containsText" text="L1 - REDD+ Program Admin and Mgt">
      <formula>NOT(ISERROR(SEARCH("L1 - REDD+ Program Admin and Mgt",BE98)))</formula>
    </cfRule>
  </conditionalFormatting>
  <conditionalFormatting sqref="BE90">
    <cfRule type="containsText" dxfId="193" priority="161" operator="containsText" text="L3 - Subprograms (in planning)">
      <formula>NOT(ISERROR(SEARCH("L3 - Subprograms (in planning)",BE90)))</formula>
    </cfRule>
    <cfRule type="containsText" dxfId="192" priority="162" operator="containsText" text="L3 - Subprograms (w/plans)">
      <formula>NOT(ISERROR(SEARCH("L3 - Subprograms (w/plans)",BE90)))</formula>
    </cfRule>
    <cfRule type="containsText" dxfId="191" priority="163" operator="containsText" text="L2 - Policies and Strategies REDD+ and Land-use">
      <formula>NOT(ISERROR(SEARCH("L2 - Policies and Strategies REDD+ and Land-use",BE90)))</formula>
    </cfRule>
    <cfRule type="containsText" dxfId="190" priority="164" operator="containsText" text="TBD/??">
      <formula>NOT(ISERROR(SEARCH("TBD/??",BE90)))</formula>
    </cfRule>
    <cfRule type="containsText" dxfId="189" priority="165" operator="containsText" text="L1 - REDD+ Program Admin and Mgt">
      <formula>NOT(ISERROR(SEARCH("L1 - REDD+ Program Admin and Mgt",BE90)))</formula>
    </cfRule>
  </conditionalFormatting>
  <conditionalFormatting sqref="BE71">
    <cfRule type="containsText" dxfId="188" priority="181" operator="containsText" text="L3 - Subprograms (in planning)">
      <formula>NOT(ISERROR(SEARCH("L3 - Subprograms (in planning)",BE71)))</formula>
    </cfRule>
    <cfRule type="containsText" dxfId="187" priority="182" operator="containsText" text="L3 - Subprograms (w/plans)">
      <formula>NOT(ISERROR(SEARCH("L3 - Subprograms (w/plans)",BE71)))</formula>
    </cfRule>
    <cfRule type="containsText" dxfId="186" priority="183" operator="containsText" text="L2 - Policies and Strategies REDD+ and Land-use">
      <formula>NOT(ISERROR(SEARCH("L2 - Policies and Strategies REDD+ and Land-use",BE71)))</formula>
    </cfRule>
    <cfRule type="containsText" dxfId="185" priority="184" operator="containsText" text="TBD/??">
      <formula>NOT(ISERROR(SEARCH("TBD/??",BE71)))</formula>
    </cfRule>
    <cfRule type="containsText" dxfId="184" priority="185" operator="containsText" text="L1 - REDD+ Program Admin and Mgt">
      <formula>NOT(ISERROR(SEARCH("L1 - REDD+ Program Admin and Mgt",BE71)))</formula>
    </cfRule>
  </conditionalFormatting>
  <conditionalFormatting sqref="BE67">
    <cfRule type="containsText" dxfId="183" priority="186" operator="containsText" text="L3 - Subprograms (in planning)">
      <formula>NOT(ISERROR(SEARCH("L3 - Subprograms (in planning)",BE67)))</formula>
    </cfRule>
    <cfRule type="containsText" dxfId="182" priority="187" operator="containsText" text="L3 - Subprograms (w/plans)">
      <formula>NOT(ISERROR(SEARCH("L3 - Subprograms (w/plans)",BE67)))</formula>
    </cfRule>
    <cfRule type="containsText" dxfId="181" priority="188" operator="containsText" text="L2 - Policies and Strategies REDD+ and Land-use">
      <formula>NOT(ISERROR(SEARCH("L2 - Policies and Strategies REDD+ and Land-use",BE67)))</formula>
    </cfRule>
    <cfRule type="containsText" dxfId="180" priority="189" operator="containsText" text="TBD/??">
      <formula>NOT(ISERROR(SEARCH("TBD/??",BE67)))</formula>
    </cfRule>
    <cfRule type="containsText" dxfId="179" priority="190" operator="containsText" text="L1 - REDD+ Program Admin and Mgt">
      <formula>NOT(ISERROR(SEARCH("L1 - REDD+ Program Admin and Mgt",BE67)))</formula>
    </cfRule>
  </conditionalFormatting>
  <conditionalFormatting sqref="BE77">
    <cfRule type="containsText" dxfId="178" priority="176" operator="containsText" text="L3 - Subprograms (in planning)">
      <formula>NOT(ISERROR(SEARCH("L3 - Subprograms (in planning)",BE77)))</formula>
    </cfRule>
    <cfRule type="containsText" dxfId="177" priority="177" operator="containsText" text="L3 - Subprograms (w/plans)">
      <formula>NOT(ISERROR(SEARCH("L3 - Subprograms (w/plans)",BE77)))</formula>
    </cfRule>
    <cfRule type="containsText" dxfId="176" priority="178" operator="containsText" text="L2 - Policies and Strategies REDD+ and Land-use">
      <formula>NOT(ISERROR(SEARCH("L2 - Policies and Strategies REDD+ and Land-use",BE77)))</formula>
    </cfRule>
    <cfRule type="containsText" dxfId="175" priority="179" operator="containsText" text="TBD/??">
      <formula>NOT(ISERROR(SEARCH("TBD/??",BE77)))</formula>
    </cfRule>
    <cfRule type="containsText" dxfId="174" priority="180" operator="containsText" text="L1 - REDD+ Program Admin and Mgt">
      <formula>NOT(ISERROR(SEARCH("L1 - REDD+ Program Admin and Mgt",BE77)))</formula>
    </cfRule>
  </conditionalFormatting>
  <conditionalFormatting sqref="BE94">
    <cfRule type="containsText" dxfId="173" priority="171" operator="containsText" text="L3 - Subprograms (in planning)">
      <formula>NOT(ISERROR(SEARCH("L3 - Subprograms (in planning)",BE94)))</formula>
    </cfRule>
    <cfRule type="containsText" dxfId="172" priority="172" operator="containsText" text="L3 - Subprograms (w/plans)">
      <formula>NOT(ISERROR(SEARCH("L3 - Subprograms (w/plans)",BE94)))</formula>
    </cfRule>
    <cfRule type="containsText" dxfId="171" priority="173" operator="containsText" text="L2 - Policies and Strategies REDD+ and Land-use">
      <formula>NOT(ISERROR(SEARCH("L2 - Policies and Strategies REDD+ and Land-use",BE94)))</formula>
    </cfRule>
    <cfRule type="containsText" dxfId="170" priority="174" operator="containsText" text="TBD/??">
      <formula>NOT(ISERROR(SEARCH("TBD/??",BE94)))</formula>
    </cfRule>
    <cfRule type="containsText" dxfId="169" priority="175" operator="containsText" text="L1 - REDD+ Program Admin and Mgt">
      <formula>NOT(ISERROR(SEARCH("L1 - REDD+ Program Admin and Mgt",BE94)))</formula>
    </cfRule>
  </conditionalFormatting>
  <conditionalFormatting sqref="BE96">
    <cfRule type="containsText" dxfId="168" priority="166" operator="containsText" text="L3 - Subprograms (in planning)">
      <formula>NOT(ISERROR(SEARCH("L3 - Subprograms (in planning)",BE96)))</formula>
    </cfRule>
    <cfRule type="containsText" dxfId="167" priority="167" operator="containsText" text="L3 - Subprograms (w/plans)">
      <formula>NOT(ISERROR(SEARCH("L3 - Subprograms (w/plans)",BE96)))</formula>
    </cfRule>
    <cfRule type="containsText" dxfId="166" priority="168" operator="containsText" text="L2 - Policies and Strategies REDD+ and Land-use">
      <formula>NOT(ISERROR(SEARCH("L2 - Policies and Strategies REDD+ and Land-use",BE96)))</formula>
    </cfRule>
    <cfRule type="containsText" dxfId="165" priority="169" operator="containsText" text="TBD/??">
      <formula>NOT(ISERROR(SEARCH("TBD/??",BE96)))</formula>
    </cfRule>
    <cfRule type="containsText" dxfId="164" priority="170" operator="containsText" text="L1 - REDD+ Program Admin and Mgt">
      <formula>NOT(ISERROR(SEARCH("L1 - REDD+ Program Admin and Mgt",BE96)))</formula>
    </cfRule>
  </conditionalFormatting>
  <conditionalFormatting sqref="BE22">
    <cfRule type="containsText" dxfId="163" priority="156" operator="containsText" text="L3 - Subprograms (in planning)">
      <formula>NOT(ISERROR(SEARCH("L3 - Subprograms (in planning)",BE22)))</formula>
    </cfRule>
    <cfRule type="containsText" dxfId="162" priority="157" operator="containsText" text="L3 - Subprograms (w/plans)">
      <formula>NOT(ISERROR(SEARCH("L3 - Subprograms (w/plans)",BE22)))</formula>
    </cfRule>
    <cfRule type="containsText" dxfId="161" priority="158" operator="containsText" text="L2 - Policies and Strategies REDD+ and Land-use">
      <formula>NOT(ISERROR(SEARCH("L2 - Policies and Strategies REDD+ and Land-use",BE22)))</formula>
    </cfRule>
    <cfRule type="containsText" dxfId="160" priority="159" operator="containsText" text="TBD/??">
      <formula>NOT(ISERROR(SEARCH("TBD/??",BE22)))</formula>
    </cfRule>
    <cfRule type="containsText" dxfId="159" priority="160" operator="containsText" text="L1 - REDD+ Program Admin and Mgt">
      <formula>NOT(ISERROR(SEARCH("L1 - REDD+ Program Admin and Mgt",BE22)))</formula>
    </cfRule>
  </conditionalFormatting>
  <conditionalFormatting sqref="BE31">
    <cfRule type="containsText" dxfId="158" priority="151" operator="containsText" text="L3 - Subprograms (in planning)">
      <formula>NOT(ISERROR(SEARCH("L3 - Subprograms (in planning)",BE31)))</formula>
    </cfRule>
    <cfRule type="containsText" dxfId="157" priority="152" operator="containsText" text="L3 - Subprograms (w/plans)">
      <formula>NOT(ISERROR(SEARCH("L3 - Subprograms (w/plans)",BE31)))</formula>
    </cfRule>
    <cfRule type="containsText" dxfId="156" priority="153" operator="containsText" text="L2 - Policies and Strategies REDD+ and Land-use">
      <formula>NOT(ISERROR(SEARCH("L2 - Policies and Strategies REDD+ and Land-use",BE31)))</formula>
    </cfRule>
    <cfRule type="containsText" dxfId="155" priority="154" operator="containsText" text="TBD/??">
      <formula>NOT(ISERROR(SEARCH("TBD/??",BE31)))</formula>
    </cfRule>
    <cfRule type="containsText" dxfId="154" priority="155" operator="containsText" text="L1 - REDD+ Program Admin and Mgt">
      <formula>NOT(ISERROR(SEARCH("L1 - REDD+ Program Admin and Mgt",BE31)))</formula>
    </cfRule>
  </conditionalFormatting>
  <conditionalFormatting sqref="BE34">
    <cfRule type="containsText" dxfId="153" priority="146" operator="containsText" text="L3 - Subprograms (in planning)">
      <formula>NOT(ISERROR(SEARCH("L3 - Subprograms (in planning)",BE34)))</formula>
    </cfRule>
    <cfRule type="containsText" dxfId="152" priority="147" operator="containsText" text="L3 - Subprograms (w/plans)">
      <formula>NOT(ISERROR(SEARCH("L3 - Subprograms (w/plans)",BE34)))</formula>
    </cfRule>
    <cfRule type="containsText" dxfId="151" priority="148" operator="containsText" text="L2 - Policies and Strategies REDD+ and Land-use">
      <formula>NOT(ISERROR(SEARCH("L2 - Policies and Strategies REDD+ and Land-use",BE34)))</formula>
    </cfRule>
    <cfRule type="containsText" dxfId="150" priority="149" operator="containsText" text="TBD/??">
      <formula>NOT(ISERROR(SEARCH("TBD/??",BE34)))</formula>
    </cfRule>
    <cfRule type="containsText" dxfId="149" priority="150" operator="containsText" text="L1 - REDD+ Program Admin and Mgt">
      <formula>NOT(ISERROR(SEARCH("L1 - REDD+ Program Admin and Mgt",BE34)))</formula>
    </cfRule>
  </conditionalFormatting>
  <conditionalFormatting sqref="BE62">
    <cfRule type="containsText" dxfId="148" priority="141" operator="containsText" text="L3 - Subprograms (in planning)">
      <formula>NOT(ISERROR(SEARCH("L3 - Subprograms (in planning)",BE62)))</formula>
    </cfRule>
    <cfRule type="containsText" dxfId="147" priority="142" operator="containsText" text="L3 - Subprograms (w/plans)">
      <formula>NOT(ISERROR(SEARCH("L3 - Subprograms (w/plans)",BE62)))</formula>
    </cfRule>
    <cfRule type="containsText" dxfId="146" priority="143" operator="containsText" text="L2 - Policies and Strategies REDD+ and Land-use">
      <formula>NOT(ISERROR(SEARCH("L2 - Policies and Strategies REDD+ and Land-use",BE62)))</formula>
    </cfRule>
    <cfRule type="containsText" dxfId="145" priority="144" operator="containsText" text="TBD/??">
      <formula>NOT(ISERROR(SEARCH("TBD/??",BE62)))</formula>
    </cfRule>
    <cfRule type="containsText" dxfId="144" priority="145" operator="containsText" text="L1 - REDD+ Program Admin and Mgt">
      <formula>NOT(ISERROR(SEARCH("L1 - REDD+ Program Admin and Mgt",BE62)))</formula>
    </cfRule>
  </conditionalFormatting>
  <conditionalFormatting sqref="BE68">
    <cfRule type="containsText" dxfId="143" priority="136" operator="containsText" text="L3 - Subprograms (in planning)">
      <formula>NOT(ISERROR(SEARCH("L3 - Subprograms (in planning)",BE68)))</formula>
    </cfRule>
    <cfRule type="containsText" dxfId="142" priority="137" operator="containsText" text="L3 - Subprograms (w/plans)">
      <formula>NOT(ISERROR(SEARCH("L3 - Subprograms (w/plans)",BE68)))</formula>
    </cfRule>
    <cfRule type="containsText" dxfId="141" priority="138" operator="containsText" text="L2 - Policies and Strategies REDD+ and Land-use">
      <formula>NOT(ISERROR(SEARCH("L2 - Policies and Strategies REDD+ and Land-use",BE68)))</formula>
    </cfRule>
    <cfRule type="containsText" dxfId="140" priority="139" operator="containsText" text="TBD/??">
      <formula>NOT(ISERROR(SEARCH("TBD/??",BE68)))</formula>
    </cfRule>
    <cfRule type="containsText" dxfId="139" priority="140" operator="containsText" text="L1 - REDD+ Program Admin and Mgt">
      <formula>NOT(ISERROR(SEARCH("L1 - REDD+ Program Admin and Mgt",BE68)))</formula>
    </cfRule>
  </conditionalFormatting>
  <conditionalFormatting sqref="BE69">
    <cfRule type="containsText" dxfId="138" priority="131" operator="containsText" text="L3 - Subprograms (in planning)">
      <formula>NOT(ISERROR(SEARCH("L3 - Subprograms (in planning)",BE69)))</formula>
    </cfRule>
    <cfRule type="containsText" dxfId="137" priority="132" operator="containsText" text="L3 - Subprograms (w/plans)">
      <formula>NOT(ISERROR(SEARCH("L3 - Subprograms (w/plans)",BE69)))</formula>
    </cfRule>
    <cfRule type="containsText" dxfId="136" priority="133" operator="containsText" text="L2 - Policies and Strategies REDD+ and Land-use">
      <formula>NOT(ISERROR(SEARCH("L2 - Policies and Strategies REDD+ and Land-use",BE69)))</formula>
    </cfRule>
    <cfRule type="containsText" dxfId="135" priority="134" operator="containsText" text="TBD/??">
      <formula>NOT(ISERROR(SEARCH("TBD/??",BE69)))</formula>
    </cfRule>
    <cfRule type="containsText" dxfId="134" priority="135" operator="containsText" text="L1 - REDD+ Program Admin and Mgt">
      <formula>NOT(ISERROR(SEARCH("L1 - REDD+ Program Admin and Mgt",BE69)))</formula>
    </cfRule>
  </conditionalFormatting>
  <conditionalFormatting sqref="BE72">
    <cfRule type="containsText" dxfId="133" priority="126" operator="containsText" text="L3 - Subprograms (in planning)">
      <formula>NOT(ISERROR(SEARCH("L3 - Subprograms (in planning)",BE72)))</formula>
    </cfRule>
    <cfRule type="containsText" dxfId="132" priority="127" operator="containsText" text="L3 - Subprograms (w/plans)">
      <formula>NOT(ISERROR(SEARCH("L3 - Subprograms (w/plans)",BE72)))</formula>
    </cfRule>
    <cfRule type="containsText" dxfId="131" priority="128" operator="containsText" text="L2 - Policies and Strategies REDD+ and Land-use">
      <formula>NOT(ISERROR(SEARCH("L2 - Policies and Strategies REDD+ and Land-use",BE72)))</formula>
    </cfRule>
    <cfRule type="containsText" dxfId="130" priority="129" operator="containsText" text="TBD/??">
      <formula>NOT(ISERROR(SEARCH("TBD/??",BE72)))</formula>
    </cfRule>
    <cfRule type="containsText" dxfId="129" priority="130" operator="containsText" text="L1 - REDD+ Program Admin and Mgt">
      <formula>NOT(ISERROR(SEARCH("L1 - REDD+ Program Admin and Mgt",BE72)))</formula>
    </cfRule>
  </conditionalFormatting>
  <conditionalFormatting sqref="BE73">
    <cfRule type="containsText" dxfId="128" priority="121" operator="containsText" text="L3 - Subprograms (in planning)">
      <formula>NOT(ISERROR(SEARCH("L3 - Subprograms (in planning)",BE73)))</formula>
    </cfRule>
    <cfRule type="containsText" dxfId="127" priority="122" operator="containsText" text="L3 - Subprograms (w/plans)">
      <formula>NOT(ISERROR(SEARCH("L3 - Subprograms (w/plans)",BE73)))</formula>
    </cfRule>
    <cfRule type="containsText" dxfId="126" priority="123" operator="containsText" text="L2 - Policies and Strategies REDD+ and Land-use">
      <formula>NOT(ISERROR(SEARCH("L2 - Policies and Strategies REDD+ and Land-use",BE73)))</formula>
    </cfRule>
    <cfRule type="containsText" dxfId="125" priority="124" operator="containsText" text="TBD/??">
      <formula>NOT(ISERROR(SEARCH("TBD/??",BE73)))</formula>
    </cfRule>
    <cfRule type="containsText" dxfId="124" priority="125" operator="containsText" text="L1 - REDD+ Program Admin and Mgt">
      <formula>NOT(ISERROR(SEARCH("L1 - REDD+ Program Admin and Mgt",BE73)))</formula>
    </cfRule>
  </conditionalFormatting>
  <conditionalFormatting sqref="BE81">
    <cfRule type="containsText" dxfId="123" priority="116" operator="containsText" text="L3 - Subprograms (in planning)">
      <formula>NOT(ISERROR(SEARCH("L3 - Subprograms (in planning)",BE81)))</formula>
    </cfRule>
    <cfRule type="containsText" dxfId="122" priority="117" operator="containsText" text="L3 - Subprograms (w/plans)">
      <formula>NOT(ISERROR(SEARCH("L3 - Subprograms (w/plans)",BE81)))</formula>
    </cfRule>
    <cfRule type="containsText" dxfId="121" priority="118" operator="containsText" text="L2 - Policies and Strategies REDD+ and Land-use">
      <formula>NOT(ISERROR(SEARCH("L2 - Policies and Strategies REDD+ and Land-use",BE81)))</formula>
    </cfRule>
    <cfRule type="containsText" dxfId="120" priority="119" operator="containsText" text="TBD/??">
      <formula>NOT(ISERROR(SEARCH("TBD/??",BE81)))</formula>
    </cfRule>
    <cfRule type="containsText" dxfId="119" priority="120" operator="containsText" text="L1 - REDD+ Program Admin and Mgt">
      <formula>NOT(ISERROR(SEARCH("L1 - REDD+ Program Admin and Mgt",BE81)))</formula>
    </cfRule>
  </conditionalFormatting>
  <conditionalFormatting sqref="BE84">
    <cfRule type="containsText" dxfId="118" priority="111" operator="containsText" text="L3 - Subprograms (in planning)">
      <formula>NOT(ISERROR(SEARCH("L3 - Subprograms (in planning)",BE84)))</formula>
    </cfRule>
    <cfRule type="containsText" dxfId="117" priority="112" operator="containsText" text="L3 - Subprograms (w/plans)">
      <formula>NOT(ISERROR(SEARCH("L3 - Subprograms (w/plans)",BE84)))</formula>
    </cfRule>
    <cfRule type="containsText" dxfId="116" priority="113" operator="containsText" text="L2 - Policies and Strategies REDD+ and Land-use">
      <formula>NOT(ISERROR(SEARCH("L2 - Policies and Strategies REDD+ and Land-use",BE84)))</formula>
    </cfRule>
    <cfRule type="containsText" dxfId="115" priority="114" operator="containsText" text="TBD/??">
      <formula>NOT(ISERROR(SEARCH("TBD/??",BE84)))</formula>
    </cfRule>
    <cfRule type="containsText" dxfId="114" priority="115" operator="containsText" text="L1 - REDD+ Program Admin and Mgt">
      <formula>NOT(ISERROR(SEARCH("L1 - REDD+ Program Admin and Mgt",BE84)))</formula>
    </cfRule>
  </conditionalFormatting>
  <conditionalFormatting sqref="BE86">
    <cfRule type="containsText" dxfId="113" priority="106" operator="containsText" text="L3 - Subprograms (in planning)">
      <formula>NOT(ISERROR(SEARCH("L3 - Subprograms (in planning)",BE86)))</formula>
    </cfRule>
    <cfRule type="containsText" dxfId="112" priority="107" operator="containsText" text="L3 - Subprograms (w/plans)">
      <formula>NOT(ISERROR(SEARCH("L3 - Subprograms (w/plans)",BE86)))</formula>
    </cfRule>
    <cfRule type="containsText" dxfId="111" priority="108" operator="containsText" text="L2 - Policies and Strategies REDD+ and Land-use">
      <formula>NOT(ISERROR(SEARCH("L2 - Policies and Strategies REDD+ and Land-use",BE86)))</formula>
    </cfRule>
    <cfRule type="containsText" dxfId="110" priority="109" operator="containsText" text="TBD/??">
      <formula>NOT(ISERROR(SEARCH("TBD/??",BE86)))</formula>
    </cfRule>
    <cfRule type="containsText" dxfId="109" priority="110" operator="containsText" text="L1 - REDD+ Program Admin and Mgt">
      <formula>NOT(ISERROR(SEARCH("L1 - REDD+ Program Admin and Mgt",BE86)))</formula>
    </cfRule>
  </conditionalFormatting>
  <conditionalFormatting sqref="BE89">
    <cfRule type="containsText" dxfId="108" priority="101" operator="containsText" text="L3 - Subprograms (in planning)">
      <formula>NOT(ISERROR(SEARCH("L3 - Subprograms (in planning)",BE89)))</formula>
    </cfRule>
    <cfRule type="containsText" dxfId="107" priority="102" operator="containsText" text="L3 - Subprograms (w/plans)">
      <formula>NOT(ISERROR(SEARCH("L3 - Subprograms (w/plans)",BE89)))</formula>
    </cfRule>
    <cfRule type="containsText" dxfId="106" priority="103" operator="containsText" text="L2 - Policies and Strategies REDD+ and Land-use">
      <formula>NOT(ISERROR(SEARCH("L2 - Policies and Strategies REDD+ and Land-use",BE89)))</formula>
    </cfRule>
    <cfRule type="containsText" dxfId="105" priority="104" operator="containsText" text="TBD/??">
      <formula>NOT(ISERROR(SEARCH("TBD/??",BE89)))</formula>
    </cfRule>
    <cfRule type="containsText" dxfId="104" priority="105" operator="containsText" text="L1 - REDD+ Program Admin and Mgt">
      <formula>NOT(ISERROR(SEARCH("L1 - REDD+ Program Admin and Mgt",BE89)))</formula>
    </cfRule>
  </conditionalFormatting>
  <conditionalFormatting sqref="BE14:BE15">
    <cfRule type="containsText" dxfId="103" priority="96" operator="containsText" text="L3 - Subprograms (in planning)">
      <formula>NOT(ISERROR(SEARCH("L3 - Subprograms (in planning)",BE14)))</formula>
    </cfRule>
    <cfRule type="containsText" dxfId="102" priority="97" operator="containsText" text="L3 - Subprograms (w/plans)">
      <formula>NOT(ISERROR(SEARCH("L3 - Subprograms (w/plans)",BE14)))</formula>
    </cfRule>
    <cfRule type="containsText" dxfId="101" priority="98" operator="containsText" text="L2 - Policies and Strategies REDD+ and Land-use">
      <formula>NOT(ISERROR(SEARCH("L2 - Policies and Strategies REDD+ and Land-use",BE14)))</formula>
    </cfRule>
    <cfRule type="containsText" dxfId="100" priority="99" operator="containsText" text="TBD/??">
      <formula>NOT(ISERROR(SEARCH("TBD/??",BE14)))</formula>
    </cfRule>
    <cfRule type="containsText" dxfId="99" priority="100" operator="containsText" text="L1 - REDD+ Program Admin and Mgt">
      <formula>NOT(ISERROR(SEARCH("L1 - REDD+ Program Admin and Mgt",BE14)))</formula>
    </cfRule>
  </conditionalFormatting>
  <conditionalFormatting sqref="BE24">
    <cfRule type="containsText" dxfId="98" priority="91" operator="containsText" text="L3 - Subprograms (in planning)">
      <formula>NOT(ISERROR(SEARCH("L3 - Subprograms (in planning)",BE24)))</formula>
    </cfRule>
    <cfRule type="containsText" dxfId="97" priority="92" operator="containsText" text="L3 - Subprograms (w/plans)">
      <formula>NOT(ISERROR(SEARCH("L3 - Subprograms (w/plans)",BE24)))</formula>
    </cfRule>
    <cfRule type="containsText" dxfId="96" priority="93" operator="containsText" text="L2 - Policies and Strategies REDD+ and Land-use">
      <formula>NOT(ISERROR(SEARCH("L2 - Policies and Strategies REDD+ and Land-use",BE24)))</formula>
    </cfRule>
    <cfRule type="containsText" dxfId="95" priority="94" operator="containsText" text="TBD/??">
      <formula>NOT(ISERROR(SEARCH("TBD/??",BE24)))</formula>
    </cfRule>
    <cfRule type="containsText" dxfId="94" priority="95" operator="containsText" text="L1 - REDD+ Program Admin and Mgt">
      <formula>NOT(ISERROR(SEARCH("L1 - REDD+ Program Admin and Mgt",BE24)))</formula>
    </cfRule>
  </conditionalFormatting>
  <conditionalFormatting sqref="BE27">
    <cfRule type="containsText" dxfId="93" priority="86" operator="containsText" text="L3 - Subprograms (in planning)">
      <formula>NOT(ISERROR(SEARCH("L3 - Subprograms (in planning)",BE27)))</formula>
    </cfRule>
    <cfRule type="containsText" dxfId="92" priority="87" operator="containsText" text="L3 - Subprograms (w/plans)">
      <formula>NOT(ISERROR(SEARCH("L3 - Subprograms (w/plans)",BE27)))</formula>
    </cfRule>
    <cfRule type="containsText" dxfId="91" priority="88" operator="containsText" text="L2 - Policies and Strategies REDD+ and Land-use">
      <formula>NOT(ISERROR(SEARCH("L2 - Policies and Strategies REDD+ and Land-use",BE27)))</formula>
    </cfRule>
    <cfRule type="containsText" dxfId="90" priority="89" operator="containsText" text="TBD/??">
      <formula>NOT(ISERROR(SEARCH("TBD/??",BE27)))</formula>
    </cfRule>
    <cfRule type="containsText" dxfId="89" priority="90" operator="containsText" text="L1 - REDD+ Program Admin and Mgt">
      <formula>NOT(ISERROR(SEARCH("L1 - REDD+ Program Admin and Mgt",BE27)))</formula>
    </cfRule>
  </conditionalFormatting>
  <conditionalFormatting sqref="H9:H10">
    <cfRule type="containsText" dxfId="88" priority="80" operator="containsText" text="x">
      <formula>NOT(ISERROR(SEARCH("x",H9)))</formula>
    </cfRule>
  </conditionalFormatting>
  <conditionalFormatting sqref="BE10">
    <cfRule type="containsText" dxfId="87" priority="75" operator="containsText" text="L3 - Subprograms (in planning)">
      <formula>NOT(ISERROR(SEARCH("L3 - Subprograms (in planning)",BE10)))</formula>
    </cfRule>
    <cfRule type="containsText" dxfId="86" priority="76" operator="containsText" text="L3 - Subprograms (w/plans)">
      <formula>NOT(ISERROR(SEARCH("L3 - Subprograms (w/plans)",BE10)))</formula>
    </cfRule>
    <cfRule type="containsText" dxfId="85" priority="77" operator="containsText" text="L2 - Policies and Strategies REDD+ and Land-use">
      <formula>NOT(ISERROR(SEARCH("L2 - Policies and Strategies REDD+ and Land-use",BE10)))</formula>
    </cfRule>
    <cfRule type="containsText" dxfId="84" priority="78" operator="containsText" text="TBD/??">
      <formula>NOT(ISERROR(SEARCH("TBD/??",BE10)))</formula>
    </cfRule>
    <cfRule type="containsText" dxfId="83" priority="79" operator="containsText" text="L1 - REDD+ Program Admin and Mgt">
      <formula>NOT(ISERROR(SEARCH("L1 - REDD+ Program Admin and Mgt",BE10)))</formula>
    </cfRule>
  </conditionalFormatting>
  <conditionalFormatting sqref="R9:AF10">
    <cfRule type="containsText" dxfId="82" priority="74" operator="containsText" text="x">
      <formula>NOT(ISERROR(SEARCH("x",R9)))</formula>
    </cfRule>
  </conditionalFormatting>
  <conditionalFormatting sqref="BE9">
    <cfRule type="containsText" dxfId="81" priority="69" operator="containsText" text="L3 - Subprograms (in planning)">
      <formula>NOT(ISERROR(SEARCH("L3 - Subprograms (in planning)",BE9)))</formula>
    </cfRule>
    <cfRule type="containsText" dxfId="80" priority="70" operator="containsText" text="L3 - Subprograms (w/plans)">
      <formula>NOT(ISERROR(SEARCH("L3 - Subprograms (w/plans)",BE9)))</formula>
    </cfRule>
    <cfRule type="containsText" dxfId="79" priority="71" operator="containsText" text="L2 - Policies and Strategies REDD+ and Land-use">
      <formula>NOT(ISERROR(SEARCH("L2 - Policies and Strategies REDD+ and Land-use",BE9)))</formula>
    </cfRule>
    <cfRule type="containsText" dxfId="78" priority="72" operator="containsText" text="TBD/??">
      <formula>NOT(ISERROR(SEARCH("TBD/??",BE9)))</formula>
    </cfRule>
    <cfRule type="containsText" dxfId="77" priority="73" operator="containsText" text="L1 - REDD+ Program Admin and Mgt">
      <formula>NOT(ISERROR(SEARCH("L1 - REDD+ Program Admin and Mgt",BE9)))</formula>
    </cfRule>
  </conditionalFormatting>
  <conditionalFormatting sqref="BE79:BE80">
    <cfRule type="containsText" dxfId="76" priority="64" operator="containsText" text="L3 - Subprograms (in planning)">
      <formula>NOT(ISERROR(SEARCH("L3 - Subprograms (in planning)",BE79)))</formula>
    </cfRule>
    <cfRule type="containsText" dxfId="75" priority="65" operator="containsText" text="L3 - Subprograms (w/plans)">
      <formula>NOT(ISERROR(SEARCH("L3 - Subprograms (w/plans)",BE79)))</formula>
    </cfRule>
    <cfRule type="containsText" dxfId="74" priority="66" operator="containsText" text="L2 - Policies and Strategies REDD+ and Land-use">
      <formula>NOT(ISERROR(SEARCH("L2 - Policies and Strategies REDD+ and Land-use",BE79)))</formula>
    </cfRule>
    <cfRule type="containsText" dxfId="73" priority="67" operator="containsText" text="TBD/??">
      <formula>NOT(ISERROR(SEARCH("TBD/??",BE79)))</formula>
    </cfRule>
    <cfRule type="containsText" dxfId="72" priority="68" operator="containsText" text="L1 - REDD+ Program Admin and Mgt">
      <formula>NOT(ISERROR(SEARCH("L1 - REDD+ Program Admin and Mgt",BE79)))</formula>
    </cfRule>
  </conditionalFormatting>
  <conditionalFormatting sqref="R79:AF80">
    <cfRule type="containsText" dxfId="71" priority="63" operator="containsText" text="x">
      <formula>NOT(ISERROR(SEARCH("x",R79)))</formula>
    </cfRule>
  </conditionalFormatting>
  <conditionalFormatting sqref="R8:AF8">
    <cfRule type="containsText" dxfId="70" priority="62" operator="containsText" text="x">
      <formula>NOT(ISERROR(SEARCH("x",R8)))</formula>
    </cfRule>
  </conditionalFormatting>
  <conditionalFormatting sqref="BE20">
    <cfRule type="containsText" dxfId="69" priority="54" operator="containsText" text="L3 - Subprograms (in planning)">
      <formula>NOT(ISERROR(SEARCH("L3 - Subprograms (in planning)",BE20)))</formula>
    </cfRule>
    <cfRule type="containsText" dxfId="68" priority="55" operator="containsText" text="L3 - Subprograms (w/plans)">
      <formula>NOT(ISERROR(SEARCH("L3 - Subprograms (w/plans)",BE20)))</formula>
    </cfRule>
    <cfRule type="containsText" dxfId="67" priority="56" operator="containsText" text="L2 - Policies and Strategies REDD+ and Land-use">
      <formula>NOT(ISERROR(SEARCH("L2 - Policies and Strategies REDD+ and Land-use",BE20)))</formula>
    </cfRule>
    <cfRule type="containsText" dxfId="66" priority="57" operator="containsText" text="TBD/??">
      <formula>NOT(ISERROR(SEARCH("TBD/??",BE20)))</formula>
    </cfRule>
    <cfRule type="containsText" dxfId="65" priority="58" operator="containsText" text="L1 - REDD+ Program Admin and Mgt">
      <formula>NOT(ISERROR(SEARCH("L1 - REDD+ Program Admin and Mgt",BE20)))</formula>
    </cfRule>
  </conditionalFormatting>
  <conditionalFormatting sqref="BE43">
    <cfRule type="containsText" dxfId="64" priority="49" operator="containsText" text="L3 - Subprograms (in planning)">
      <formula>NOT(ISERROR(SEARCH("L3 - Subprograms (in planning)",BE43)))</formula>
    </cfRule>
    <cfRule type="containsText" dxfId="63" priority="50" operator="containsText" text="L3 - Subprograms (w/plans)">
      <formula>NOT(ISERROR(SEARCH("L3 - Subprograms (w/plans)",BE43)))</formula>
    </cfRule>
    <cfRule type="containsText" dxfId="62" priority="51" operator="containsText" text="L2 - Policies and Strategies REDD+ and Land-use">
      <formula>NOT(ISERROR(SEARCH("L2 - Policies and Strategies REDD+ and Land-use",BE43)))</formula>
    </cfRule>
    <cfRule type="containsText" dxfId="61" priority="52" operator="containsText" text="TBD/??">
      <formula>NOT(ISERROR(SEARCH("TBD/??",BE43)))</formula>
    </cfRule>
    <cfRule type="containsText" dxfId="60" priority="53" operator="containsText" text="L1 - REDD+ Program Admin and Mgt">
      <formula>NOT(ISERROR(SEARCH("L1 - REDD+ Program Admin and Mgt",BE43)))</formula>
    </cfRule>
  </conditionalFormatting>
  <conditionalFormatting sqref="R43:AF43">
    <cfRule type="containsText" dxfId="59" priority="48" operator="containsText" text="x">
      <formula>NOT(ISERROR(SEARCH("x",R43)))</formula>
    </cfRule>
  </conditionalFormatting>
  <conditionalFormatting sqref="BE44:BE45">
    <cfRule type="containsText" dxfId="58" priority="43" operator="containsText" text="L3 - Subprograms (in planning)">
      <formula>NOT(ISERROR(SEARCH("L3 - Subprograms (in planning)",BE44)))</formula>
    </cfRule>
    <cfRule type="containsText" dxfId="57" priority="44" operator="containsText" text="L3 - Subprograms (w/plans)">
      <formula>NOT(ISERROR(SEARCH("L3 - Subprograms (w/plans)",BE44)))</formula>
    </cfRule>
    <cfRule type="containsText" dxfId="56" priority="45" operator="containsText" text="L2 - Policies and Strategies REDD+ and Land-use">
      <formula>NOT(ISERROR(SEARCH("L2 - Policies and Strategies REDD+ and Land-use",BE44)))</formula>
    </cfRule>
    <cfRule type="containsText" dxfId="55" priority="46" operator="containsText" text="TBD/??">
      <formula>NOT(ISERROR(SEARCH("TBD/??",BE44)))</formula>
    </cfRule>
    <cfRule type="containsText" dxfId="54" priority="47" operator="containsText" text="L1 - REDD+ Program Admin and Mgt">
      <formula>NOT(ISERROR(SEARCH("L1 - REDD+ Program Admin and Mgt",BE44)))</formula>
    </cfRule>
  </conditionalFormatting>
  <conditionalFormatting sqref="R44:AF45">
    <cfRule type="containsText" dxfId="53" priority="42" operator="containsText" text="x">
      <formula>NOT(ISERROR(SEARCH("x",R44)))</formula>
    </cfRule>
  </conditionalFormatting>
  <conditionalFormatting sqref="BE47">
    <cfRule type="containsText" dxfId="52" priority="37" operator="containsText" text="L3 - Subprograms (in planning)">
      <formula>NOT(ISERROR(SEARCH("L3 - Subprograms (in planning)",BE47)))</formula>
    </cfRule>
    <cfRule type="containsText" dxfId="51" priority="38" operator="containsText" text="L3 - Subprograms (w/plans)">
      <formula>NOT(ISERROR(SEARCH("L3 - Subprograms (w/plans)",BE47)))</formula>
    </cfRule>
    <cfRule type="containsText" dxfId="50" priority="39" operator="containsText" text="L2 - Policies and Strategies REDD+ and Land-use">
      <formula>NOT(ISERROR(SEARCH("L2 - Policies and Strategies REDD+ and Land-use",BE47)))</formula>
    </cfRule>
    <cfRule type="containsText" dxfId="49" priority="40" operator="containsText" text="TBD/??">
      <formula>NOT(ISERROR(SEARCH("TBD/??",BE47)))</formula>
    </cfRule>
    <cfRule type="containsText" dxfId="48" priority="41" operator="containsText" text="L1 - REDD+ Program Admin and Mgt">
      <formula>NOT(ISERROR(SEARCH("L1 - REDD+ Program Admin and Mgt",BE47)))</formula>
    </cfRule>
  </conditionalFormatting>
  <conditionalFormatting sqref="R47:AF47">
    <cfRule type="containsText" dxfId="47" priority="36" operator="containsText" text="x">
      <formula>NOT(ISERROR(SEARCH("x",R47)))</formula>
    </cfRule>
  </conditionalFormatting>
  <conditionalFormatting sqref="R53:AF53">
    <cfRule type="containsText" dxfId="46" priority="30" operator="containsText" text="x">
      <formula>NOT(ISERROR(SEARCH("x",R53)))</formula>
    </cfRule>
  </conditionalFormatting>
  <conditionalFormatting sqref="BE53">
    <cfRule type="containsText" dxfId="45" priority="31" operator="containsText" text="L3 - Subprograms (in planning)">
      <formula>NOT(ISERROR(SEARCH("L3 - Subprograms (in planning)",BE53)))</formula>
    </cfRule>
    <cfRule type="containsText" dxfId="44" priority="32" operator="containsText" text="L3 - Subprograms (w/plans)">
      <formula>NOT(ISERROR(SEARCH("L3 - Subprograms (w/plans)",BE53)))</formula>
    </cfRule>
    <cfRule type="containsText" dxfId="43" priority="33" operator="containsText" text="L2 - Policies and Strategies REDD+ and Land-use">
      <formula>NOT(ISERROR(SEARCH("L2 - Policies and Strategies REDD+ and Land-use",BE53)))</formula>
    </cfRule>
    <cfRule type="containsText" dxfId="42" priority="34" operator="containsText" text="TBD/??">
      <formula>NOT(ISERROR(SEARCH("TBD/??",BE53)))</formula>
    </cfRule>
    <cfRule type="containsText" dxfId="41" priority="35" operator="containsText" text="L1 - REDD+ Program Admin and Mgt">
      <formula>NOT(ISERROR(SEARCH("L1 - REDD+ Program Admin and Mgt",BE53)))</formula>
    </cfRule>
  </conditionalFormatting>
  <conditionalFormatting sqref="BE61">
    <cfRule type="containsText" dxfId="40" priority="25" operator="containsText" text="L3 - Subprograms (in planning)">
      <formula>NOT(ISERROR(SEARCH("L3 - Subprograms (in planning)",BE61)))</formula>
    </cfRule>
    <cfRule type="containsText" dxfId="39" priority="26" operator="containsText" text="L3 - Subprograms (w/plans)">
      <formula>NOT(ISERROR(SEARCH("L3 - Subprograms (w/plans)",BE61)))</formula>
    </cfRule>
    <cfRule type="containsText" dxfId="38" priority="27" operator="containsText" text="L2 - Policies and Strategies REDD+ and Land-use">
      <formula>NOT(ISERROR(SEARCH("L2 - Policies and Strategies REDD+ and Land-use",BE61)))</formula>
    </cfRule>
    <cfRule type="containsText" dxfId="37" priority="28" operator="containsText" text="TBD/??">
      <formula>NOT(ISERROR(SEARCH("TBD/??",BE61)))</formula>
    </cfRule>
    <cfRule type="containsText" dxfId="36" priority="29" operator="containsText" text="L1 - REDD+ Program Admin and Mgt">
      <formula>NOT(ISERROR(SEARCH("L1 - REDD+ Program Admin and Mgt",BE61)))</formula>
    </cfRule>
  </conditionalFormatting>
  <conditionalFormatting sqref="R61:AF61">
    <cfRule type="containsText" dxfId="35" priority="24" operator="containsText" text="x">
      <formula>NOT(ISERROR(SEARCH("x",R61)))</formula>
    </cfRule>
  </conditionalFormatting>
  <conditionalFormatting sqref="R58:AF58">
    <cfRule type="containsText" dxfId="34" priority="23" operator="containsText" text="x">
      <formula>NOT(ISERROR(SEARCH("x",R58)))</formula>
    </cfRule>
  </conditionalFormatting>
  <conditionalFormatting sqref="R12:S12 U12:AF12">
    <cfRule type="containsText" dxfId="33" priority="22" operator="containsText" text="x">
      <formula>NOT(ISERROR(SEARCH("x",R12)))</formula>
    </cfRule>
  </conditionalFormatting>
  <conditionalFormatting sqref="H102">
    <cfRule type="containsText" dxfId="32" priority="21" operator="containsText" text="x">
      <formula>NOT(ISERROR(SEARCH("x",H102)))</formula>
    </cfRule>
  </conditionalFormatting>
  <conditionalFormatting sqref="BE17:BE18">
    <cfRule type="containsText" dxfId="31" priority="16" operator="containsText" text="L3 - Subprograms (in planning)">
      <formula>NOT(ISERROR(SEARCH("L3 - Subprograms (in planning)",BE17)))</formula>
    </cfRule>
    <cfRule type="containsText" dxfId="30" priority="17" operator="containsText" text="L3 - Subprograms (w/plans)">
      <formula>NOT(ISERROR(SEARCH("L3 - Subprograms (w/plans)",BE17)))</formula>
    </cfRule>
    <cfRule type="containsText" dxfId="29" priority="18" operator="containsText" text="L2 - Policies and Strategies REDD+ and Land-use">
      <formula>NOT(ISERROR(SEARCH("L2 - Policies and Strategies REDD+ and Land-use",BE17)))</formula>
    </cfRule>
    <cfRule type="containsText" dxfId="28" priority="19" operator="containsText" text="TBD/??">
      <formula>NOT(ISERROR(SEARCH("TBD/??",BE17)))</formula>
    </cfRule>
    <cfRule type="containsText" dxfId="27" priority="20" operator="containsText" text="L1 - REDD+ Program Admin and Mgt">
      <formula>NOT(ISERROR(SEARCH("L1 - REDD+ Program Admin and Mgt",BE17)))</formula>
    </cfRule>
  </conditionalFormatting>
  <conditionalFormatting sqref="BE12">
    <cfRule type="containsText" dxfId="26" priority="11" operator="containsText" text="L3 - Subprograms (in planning)">
      <formula>NOT(ISERROR(SEARCH("L3 - Subprograms (in planning)",BE12)))</formula>
    </cfRule>
    <cfRule type="containsText" dxfId="25" priority="12" operator="containsText" text="L3 - Subprograms (w/plans)">
      <formula>NOT(ISERROR(SEARCH("L3 - Subprograms (w/plans)",BE12)))</formula>
    </cfRule>
    <cfRule type="containsText" dxfId="24" priority="13" operator="containsText" text="L2 - Policies and Strategies REDD+ and Land-use">
      <formula>NOT(ISERROR(SEARCH("L2 - Policies and Strategies REDD+ and Land-use",BE12)))</formula>
    </cfRule>
    <cfRule type="containsText" dxfId="23" priority="14" operator="containsText" text="TBD/??">
      <formula>NOT(ISERROR(SEARCH("TBD/??",BE12)))</formula>
    </cfRule>
    <cfRule type="containsText" dxfId="22" priority="15" operator="containsText" text="L1 - REDD+ Program Admin and Mgt">
      <formula>NOT(ISERROR(SEARCH("L1 - REDD+ Program Admin and Mgt",BE12)))</formula>
    </cfRule>
  </conditionalFormatting>
  <conditionalFormatting sqref="BE58">
    <cfRule type="containsText" dxfId="21" priority="6" operator="containsText" text="L3 - Subprograms (in planning)">
      <formula>NOT(ISERROR(SEARCH("L3 - Subprograms (in planning)",BE58)))</formula>
    </cfRule>
    <cfRule type="containsText" dxfId="20" priority="7" operator="containsText" text="L3 - Subprograms (w/plans)">
      <formula>NOT(ISERROR(SEARCH("L3 - Subprograms (w/plans)",BE58)))</formula>
    </cfRule>
    <cfRule type="containsText" dxfId="19" priority="8" operator="containsText" text="L2 - Policies and Strategies REDD+ and Land-use">
      <formula>NOT(ISERROR(SEARCH("L2 - Policies and Strategies REDD+ and Land-use",BE58)))</formula>
    </cfRule>
    <cfRule type="containsText" dxfId="18" priority="9" operator="containsText" text="TBD/??">
      <formula>NOT(ISERROR(SEARCH("TBD/??",BE58)))</formula>
    </cfRule>
    <cfRule type="containsText" dxfId="17" priority="10" operator="containsText" text="L1 - REDD+ Program Admin and Mgt">
      <formula>NOT(ISERROR(SEARCH("L1 - REDD+ Program Admin and Mgt",BE58)))</formula>
    </cfRule>
  </conditionalFormatting>
  <conditionalFormatting sqref="BE8">
    <cfRule type="containsText" dxfId="16" priority="1" operator="containsText" text="L3 - Subprograms (in planning)">
      <formula>NOT(ISERROR(SEARCH("L3 - Subprograms (in planning)",BE8)))</formula>
    </cfRule>
    <cfRule type="containsText" dxfId="15" priority="2" operator="containsText" text="L3 - Subprograms (w/plans)">
      <formula>NOT(ISERROR(SEARCH("L3 - Subprograms (w/plans)",BE8)))</formula>
    </cfRule>
    <cfRule type="containsText" dxfId="14" priority="3" operator="containsText" text="L2 - Policies and Strategies REDD+ and Land-use">
      <formula>NOT(ISERROR(SEARCH("L2 - Policies and Strategies REDD+ and Land-use",BE8)))</formula>
    </cfRule>
    <cfRule type="containsText" dxfId="13" priority="4" operator="containsText" text="TBD/??">
      <formula>NOT(ISERROR(SEARCH("TBD/??",BE8)))</formula>
    </cfRule>
    <cfRule type="containsText" dxfId="12" priority="5" operator="containsText" text="L1 - REDD+ Program Admin and Mgt">
      <formula>NOT(ISERROR(SEARCH("L1 - REDD+ Program Admin and Mgt",BE8)))</formula>
    </cfRule>
  </conditionalFormatting>
  <dataValidations disablePrompts="1" count="1">
    <dataValidation type="list" allowBlank="1" showInputMessage="1" showErrorMessage="1" sqref="AH49 BE49 AH64 BE64 AH88 AH96 AH71 AH73 AH40 AH98 AH22 AH51 AH24 AH67:AH69 BE17:BE18 AH77 AH83:AH84 AH86 BE96 AH90 BE77 AH92:AH94 BE92:BE94 BE24 AH29 BE27:BE29 BE33:BE35 BE31 AH33:AH35 BE40 BE51 BE83:BE84 BE98 BE88:BE90 BE22 BE75 AH14:AH15 BE86 BE67:BE69 BE71:BE73 BE6:BE10 BE14:BE15 BE12 BE58 AH12 AH6:AH10 AH61:AH62 AH17:AH18 AH58 AH20 BE20 AH43:AH45 BE43:BE45 AH47 BE47 AH53 BE53 BE61:BE62 BE79:BE81 AH79:AH81">
      <formula1>#REF!</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302" operator="containsText" text="x" id="{EF2E3638-E566-4A53-AD74-EFA5A52131E4}">
            <xm:f>NOT(ISERROR(SEARCH("x",'\EEVA\Mis Archivos\Laborales\Casos FONAFIFO\Caso Estrategia REDD\Análisis\Implementación\[Costos Institucionales Nuevas PAMs ENREDD+ V3.xlsb]PAAs (E2015)'!#REF!)))</xm:f>
            <x14:dxf>
              <fill>
                <patternFill>
                  <bgColor theme="0" tint="-0.24994659260841701"/>
                </patternFill>
              </fill>
            </x14:dxf>
          </x14:cfRule>
          <xm:sqref>H89</xm:sqref>
        </x14:conditionalFormatting>
        <x14:conditionalFormatting xmlns:xm="http://schemas.microsoft.com/office/excel/2006/main">
          <x14:cfRule type="containsText" priority="316" operator="containsText" text="x" id="{39A9C701-81FC-4D2C-94B1-1AA17FB116D2}">
            <xm:f>NOT(ISERROR(SEARCH("x",'\EEVA\Mis Archivos\Laborales\Casos FONAFIFO\Caso Estrategia REDD\Análisis\Implementación\[Costos Institucionales Nuevas PAMs ENREDD+ V3.xlsb]PAAs (E2015)'!#REF!)))</xm:f>
            <x14:dxf>
              <fill>
                <patternFill>
                  <bgColor theme="0" tint="-0.24994659260841701"/>
                </patternFill>
              </fill>
            </x14:dxf>
          </x14:cfRule>
          <xm:sqref>H17:H18</xm:sqref>
        </x14:conditionalFormatting>
        <x14:conditionalFormatting xmlns:xm="http://schemas.microsoft.com/office/excel/2006/main">
          <x14:cfRule type="containsText" priority="317" operator="containsText" text="x" id="{2D3BE61C-C785-46BD-B792-87F10482CE31}">
            <xm:f>NOT(ISERROR(SEARCH("x",'\EEVA\Mis Archivos\Laborales\Casos FONAFIFO\Caso Estrategia REDD\Análisis\Implementación\[Costos Institucionales Nuevas PAMs ENREDD+ V3.xlsb]PAAs (E2015)'!#REF!)))</xm:f>
            <x14:dxf>
              <fill>
                <patternFill>
                  <bgColor theme="0" tint="-0.24994659260841701"/>
                </patternFill>
              </fill>
            </x14:dxf>
          </x14:cfRule>
          <xm:sqref>H20</xm:sqref>
        </x14:conditionalFormatting>
        <x14:conditionalFormatting xmlns:xm="http://schemas.microsoft.com/office/excel/2006/main">
          <x14:cfRule type="containsText" priority="288" operator="containsText" text="x" id="{834EB6D5-9A71-4E20-959A-57DD6E684390}">
            <xm:f>NOT(ISERROR(SEARCH("x",'\EEVA\Mis Archivos\Laborales\Casos FONAFIFO\Caso Estrategia REDD\Análisis\Implementación\[Costos Institucionales Nuevas PAMs ENREDD+ V3.xlsb]PAAs (E2015)'!#REF!)))</xm:f>
            <x14:dxf>
              <fill>
                <patternFill>
                  <bgColor theme="0" tint="-0.24994659260841701"/>
                </patternFill>
              </fill>
            </x14:dxf>
          </x14:cfRule>
          <xm:sqref>H77</xm:sqref>
        </x14:conditionalFormatting>
        <x14:conditionalFormatting xmlns:xm="http://schemas.microsoft.com/office/excel/2006/main">
          <x14:cfRule type="containsText" priority="318" operator="containsText" text="x" id="{A4B9CF50-B7EF-4D17-BDB3-03D021D39DD0}">
            <xm:f>NOT(ISERROR(SEARCH("x",'\EEVA\Mis Archivos\Laborales\Casos FONAFIFO\Caso Estrategia REDD\Análisis\Implementación\[Costos Institucionales Nuevas PAMs ENREDD+ V3.xlsb]PAAs (E2015)'!#REF!)))</xm:f>
            <x14:dxf>
              <fill>
                <patternFill>
                  <bgColor theme="0" tint="-0.24994659260841701"/>
                </patternFill>
              </fill>
            </x14:dxf>
          </x14:cfRule>
          <xm:sqref>H84</xm:sqref>
        </x14:conditionalFormatting>
        <x14:conditionalFormatting xmlns:xm="http://schemas.microsoft.com/office/excel/2006/main">
          <x14:cfRule type="containsText" priority="319" operator="containsText" text="x" id="{65D31514-8114-4CAE-9593-91A48425458F}">
            <xm:f>NOT(ISERROR(SEARCH("x",'\EEVA\Mis Archivos\Laborales\Casos FONAFIFO\Caso Estrategia REDD\Análisis\Implementación\[Costos Institucionales Nuevas PAMs ENREDD+ V3.xlsb]PAAs (E2015)'!#REF!)))</xm:f>
            <x14:dxf>
              <fill>
                <patternFill>
                  <bgColor theme="0" tint="-0.24994659260841701"/>
                </patternFill>
              </fill>
            </x14:dxf>
          </x14:cfRule>
          <xm:sqref>H96</xm:sqref>
        </x14:conditionalFormatting>
        <x14:conditionalFormatting xmlns:xm="http://schemas.microsoft.com/office/excel/2006/main">
          <x14:cfRule type="containsText" priority="249" operator="containsText" text="x" id="{0069F8B4-1AC3-41D7-8462-49873E1E2F38}">
            <xm:f>NOT(ISERROR(SEARCH("x",'\EEVA\Mis Archivos\Laborales\Casos FONAFIFO\Caso Estrategia REDD\Análisis\Implementación\[Costos Institucionales Nuevas PAMs ENREDD+ V3.xlsb]PAAs (E2015)'!#REF!)))</xm:f>
            <x14:dxf>
              <fill>
                <patternFill>
                  <bgColor theme="0" tint="-0.24994659260841701"/>
                </patternFill>
              </fill>
            </x14:dxf>
          </x14:cfRule>
          <xm:sqref>R77:AF77</xm:sqref>
        </x14:conditionalFormatting>
        <x14:conditionalFormatting xmlns:xm="http://schemas.microsoft.com/office/excel/2006/main">
          <x14:cfRule type="containsText" priority="242" operator="containsText" text="x" id="{FF4BFF8B-8ECD-4468-A595-A00F2969FEFE}">
            <xm:f>NOT(ISERROR(SEARCH("x",'\EEVA\Mis Archivos\Laborales\Casos FONAFIFO\Caso Estrategia REDD\Análisis\Implementación\[Costos Institucionales Nuevas PAMs ENREDD+ V3.xlsb]PAAs (E2015)'!#REF!)))</xm:f>
            <x14:dxf>
              <fill>
                <patternFill>
                  <bgColor theme="0" tint="-0.24994659260841701"/>
                </patternFill>
              </fill>
            </x14:dxf>
          </x14:cfRule>
          <xm:sqref>R84:AF84</xm:sqref>
        </x14:conditionalFormatting>
        <x14:conditionalFormatting xmlns:xm="http://schemas.microsoft.com/office/excel/2006/main">
          <x14:cfRule type="containsText" priority="227" operator="containsText" text="x" id="{E13D419C-8FFC-4777-9381-96665EF4C51A}">
            <xm:f>NOT(ISERROR(SEARCH("x",'\EEVA\Mis Archivos\Laborales\Casos FONAFIFO\Caso Estrategia REDD\Análisis\Implementación\[Costos Institucionales Nuevas PAMs ENREDD+ V3.xlsb]PAAs (E2015)'!#REF!)))</xm:f>
            <x14:dxf>
              <fill>
                <patternFill>
                  <bgColor theme="0" tint="-0.24994659260841701"/>
                </patternFill>
              </fill>
            </x14:dxf>
          </x14:cfRule>
          <xm:sqref>R96:AF96</xm:sqref>
        </x14:conditionalFormatting>
        <x14:conditionalFormatting xmlns:xm="http://schemas.microsoft.com/office/excel/2006/main">
          <x14:cfRule type="containsText" priority="61" operator="containsText" text="x" id="{3688629E-E0DC-4362-B0AB-552652C49E3D}">
            <xm:f>NOT(ISERROR(SEARCH("x",'\EEVA\Mis Archivos\Laborales\Casos FONAFIFO\Caso Estrategia REDD\Análisis\Implementación\[Costos Institucionales Nuevas PAMs ENREDD+ V3.xlsb]PAAs (E2015)'!#REF!)))</xm:f>
            <x14:dxf>
              <fill>
                <patternFill>
                  <bgColor theme="0" tint="-0.24994659260841701"/>
                </patternFill>
              </fill>
            </x14:dxf>
          </x14:cfRule>
          <xm:sqref>R17:AF17</xm:sqref>
        </x14:conditionalFormatting>
        <x14:conditionalFormatting xmlns:xm="http://schemas.microsoft.com/office/excel/2006/main">
          <x14:cfRule type="containsText" priority="60" operator="containsText" text="x" id="{F8730BA9-4D48-4F55-BA6C-CFCC86D9E665}">
            <xm:f>NOT(ISERROR(SEARCH("x",'\EEVA\Mis Archivos\Laborales\Casos FONAFIFO\Caso Estrategia REDD\Análisis\Implementación\[Costos Institucionales Nuevas PAMs ENREDD+ V3.xlsb]PAAs (E2015)'!#REF!)))</xm:f>
            <x14:dxf>
              <fill>
                <patternFill>
                  <bgColor theme="0" tint="-0.24994659260841701"/>
                </patternFill>
              </fill>
            </x14:dxf>
          </x14:cfRule>
          <xm:sqref>R18:AF18</xm:sqref>
        </x14:conditionalFormatting>
        <x14:conditionalFormatting xmlns:xm="http://schemas.microsoft.com/office/excel/2006/main">
          <x14:cfRule type="containsText" priority="59" operator="containsText" text="x" id="{FB095473-614E-4347-AFEA-38312E2C65F2}">
            <xm:f>NOT(ISERROR(SEARCH("x",'\EEVA\Mis Archivos\Laborales\Casos FONAFIFO\Caso Estrategia REDD\Análisis\Implementación\[Costos Institucionales Nuevas PAMs ENREDD+ V3.xlsb]PAAs (E2015)'!#REF!)))</xm:f>
            <x14:dxf>
              <fill>
                <patternFill>
                  <bgColor theme="0" tint="-0.24994659260841701"/>
                </patternFill>
              </fill>
            </x14:dxf>
          </x14:cfRule>
          <xm:sqref>R20:AF20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Agrupamiento</vt:lpstr>
      <vt:lpstr>Info recibida</vt:lpstr>
      <vt:lpstr>$</vt:lpstr>
      <vt:lpstr>x Políticas</vt:lpstr>
      <vt:lpstr>x Institución</vt:lpstr>
      <vt:lpstr>Entradas</vt:lpstr>
      <vt:lpstr>Impresión de 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Vega-Araya</dc:creator>
  <cp:lastModifiedBy>Edwin Vega-Araya</cp:lastModifiedBy>
  <dcterms:created xsi:type="dcterms:W3CDTF">2016-10-12T16:05:38Z</dcterms:created>
  <dcterms:modified xsi:type="dcterms:W3CDTF">2017-03-17T22:30:40Z</dcterms:modified>
</cp:coreProperties>
</file>